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1745" windowHeight="6600" activeTab="0"/>
  </bookViews>
  <sheets>
    <sheet name="菜單" sheetId="1" r:id="rId1"/>
    <sheet name="熱量計算" sheetId="2" state="hidden" r:id="rId2"/>
    <sheet name="食物代算" sheetId="3" r:id="rId3"/>
  </sheets>
  <definedNames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<sst xmlns="http://schemas.openxmlformats.org/spreadsheetml/2006/main" count="647" uniqueCount="393">
  <si>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</si>
  <si>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</si>
  <si>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</si>
  <si>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</si>
  <si>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</si>
  <si>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</si>
  <si>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</si>
  <si>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</si>
  <si>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</si>
  <si>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</si>
  <si>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</si>
  <si>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</si>
  <si>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</si>
  <si>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</si>
  <si>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</si>
  <si>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</si>
  <si>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</si>
  <si>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</si>
  <si>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</si>
  <si>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</si>
  <si>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</si>
  <si>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</si>
  <si>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</si>
  <si>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</si>
  <si>
    <t>爆米花（不加奶油）</t>
  </si>
  <si>
    <r>
      <t xml:space="preserve">   1</t>
    </r>
    <r>
      <rPr>
        <sz val="12"/>
        <rFont val="新細明體"/>
        <family val="1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</si>
  <si>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</si>
  <si>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</si>
  <si>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</si>
  <si>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</si>
  <si>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</si>
  <si>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</si>
  <si>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</si>
  <si>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</si>
  <si>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</si>
  <si>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</si>
  <si>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</si>
  <si>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</si>
  <si>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</si>
  <si>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</si>
  <si>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</si>
  <si>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</si>
  <si>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</si>
  <si>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</si>
  <si>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</si>
  <si>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</si>
  <si>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</si>
  <si>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</si>
  <si>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</si>
  <si>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</si>
  <si>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</si>
  <si>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</si>
  <si>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</si>
  <si>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</si>
  <si>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</si>
  <si>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</si>
  <si>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</si>
  <si>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</si>
  <si>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</si>
  <si>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</si>
  <si>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</si>
  <si>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</si>
  <si>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</si>
  <si>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</si>
  <si>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</si>
  <si>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</si>
  <si>
    <r>
      <t xml:space="preserve"> 1/10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</si>
  <si>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根</t>
    </r>
  </si>
  <si>
    <r>
      <t xml:space="preserve">  32</t>
    </r>
    <r>
      <rPr>
        <sz val="12.5"/>
        <rFont val="新細明體"/>
        <family val="1"/>
      </rPr>
      <t>粒</t>
    </r>
  </si>
  <si>
    <r>
      <t>1/2</t>
    </r>
    <r>
      <rPr>
        <sz val="12.5"/>
        <rFont val="新細明體"/>
        <family val="1"/>
      </rPr>
      <t>杯</t>
    </r>
  </si>
  <si>
    <r>
      <t xml:space="preserve"> 6</t>
    </r>
    <r>
      <rPr>
        <sz val="12.5"/>
        <rFont val="新細明體"/>
        <family val="1"/>
      </rPr>
      <t>粒</t>
    </r>
  </si>
  <si>
    <r>
      <t>1/4</t>
    </r>
    <r>
      <rPr>
        <sz val="12.5"/>
        <rFont val="新細明體"/>
        <family val="1"/>
      </rPr>
      <t>碗</t>
    </r>
  </si>
  <si>
    <r>
      <t>3</t>
    </r>
    <r>
      <rPr>
        <sz val="12.5"/>
        <rFont val="新細明體"/>
        <family val="1"/>
      </rPr>
      <t>大匙</t>
    </r>
  </si>
  <si>
    <r>
      <t>3</t>
    </r>
    <r>
      <rPr>
        <sz val="12.5"/>
        <rFont val="新細明體"/>
        <family val="1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</si>
  <si>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</rPr>
      <t>小</t>
    </r>
    <r>
      <rPr>
        <sz val="12.5"/>
        <rFont val="Times New Roman"/>
        <family val="1"/>
      </rPr>
      <t>)</t>
    </r>
  </si>
  <si>
    <r>
      <t>1/3</t>
    </r>
    <r>
      <rPr>
        <sz val="12.5"/>
        <rFont val="新細明體"/>
        <family val="1"/>
      </rPr>
      <t>個</t>
    </r>
  </si>
  <si>
    <r>
      <t>3</t>
    </r>
    <r>
      <rPr>
        <sz val="12.5"/>
        <rFont val="新細明體"/>
        <family val="1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</rPr>
      <t>塊</t>
    </r>
  </si>
  <si>
    <r>
      <t>1/4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</si>
  <si>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碗</t>
    </r>
  </si>
  <si>
    <r>
      <t>1</t>
    </r>
    <r>
      <rPr>
        <sz val="12.5"/>
        <rFont val="新細明體"/>
        <family val="1"/>
      </rPr>
      <t>片</t>
    </r>
  </si>
  <si>
    <r>
      <t>1</t>
    </r>
    <r>
      <rPr>
        <sz val="12.5"/>
        <rFont val="新細明體"/>
        <family val="1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</si>
  <si>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</rPr>
      <t>公分</t>
    </r>
  </si>
  <si>
    <r>
      <t>1</t>
    </r>
    <r>
      <rPr>
        <sz val="12.5"/>
        <rFont val="新細明體"/>
        <family val="1"/>
      </rPr>
      <t>塊</t>
    </r>
  </si>
  <si>
    <r>
      <t>1/2</t>
    </r>
    <r>
      <rPr>
        <sz val="12.5"/>
        <rFont val="新細明體"/>
        <family val="1"/>
      </rPr>
      <t>個</t>
    </r>
  </si>
  <si>
    <t>麵條（濕）</t>
  </si>
  <si>
    <r>
      <t>12</t>
    </r>
    <r>
      <rPr>
        <sz val="12.5"/>
        <rFont val="新細明體"/>
        <family val="1"/>
      </rPr>
      <t>粒</t>
    </r>
  </si>
  <si>
    <r>
      <t>1/3</t>
    </r>
    <r>
      <rPr>
        <sz val="12.5"/>
        <rFont val="新細明體"/>
        <family val="1"/>
      </rPr>
      <t>杯</t>
    </r>
  </si>
  <si>
    <r>
      <t>1/2</t>
    </r>
    <r>
      <rPr>
        <sz val="12.5"/>
        <rFont val="細明體"/>
        <family val="3"/>
      </rPr>
      <t>個</t>
    </r>
  </si>
  <si>
    <r>
      <t>1/4</t>
    </r>
    <r>
      <rPr>
        <sz val="12.5"/>
        <rFont val="新細明體"/>
        <family val="1"/>
      </rPr>
      <t>個</t>
    </r>
  </si>
  <si>
    <t>荸齊</t>
  </si>
  <si>
    <r>
      <t>10</t>
    </r>
    <r>
      <rPr>
        <sz val="12.5"/>
        <rFont val="新細明體"/>
        <family val="1"/>
      </rPr>
      <t>粒</t>
    </r>
  </si>
  <si>
    <r>
      <t xml:space="preserve">  1/2</t>
    </r>
    <r>
      <rPr>
        <sz val="12.5"/>
        <rFont val="新細明體"/>
        <family val="1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</si>
  <si>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</si>
  <si>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</si>
  <si>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</si>
  <si>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</si>
  <si>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</si>
  <si>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</si>
  <si>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</si>
  <si>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</rPr>
      <t>粒</t>
    </r>
  </si>
  <si>
    <r>
      <t xml:space="preserve">  5</t>
    </r>
    <r>
      <rPr>
        <sz val="12.5"/>
        <rFont val="新細明體"/>
        <family val="1"/>
      </rPr>
      <t>粒</t>
    </r>
  </si>
  <si>
    <t>沙拉醬</t>
  </si>
  <si>
    <t xml:space="preserve">  2t</t>
  </si>
  <si>
    <t>日期</t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</si>
  <si>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</si>
  <si>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杏仁果</t>
    </r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</si>
  <si>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花生</t>
    </r>
  </si>
  <si>
    <t>南瓜子</t>
  </si>
  <si>
    <t>瓜子</t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</si>
  <si>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春捲皮</t>
    </r>
  </si>
  <si>
    <t>燒餅</t>
  </si>
  <si>
    <t>油條</t>
  </si>
  <si>
    <t xml:space="preserve"> </t>
  </si>
  <si>
    <t>火腿</t>
  </si>
  <si>
    <t>黃豆</t>
  </si>
  <si>
    <t>豬肉酥</t>
  </si>
  <si>
    <t>冬粉</t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</si>
  <si>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五花肉</t>
    </r>
  </si>
  <si>
    <r>
      <t>1/3</t>
    </r>
    <r>
      <rPr>
        <sz val="8"/>
        <rFont val="新細明體"/>
        <family val="1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</si>
  <si>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魚板</t>
    </r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</si>
  <si>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鴿蛋</t>
    </r>
    <r>
      <rPr>
        <sz val="12.5"/>
        <rFont val="Times New Roman"/>
        <family val="1"/>
      </rPr>
      <t>)</t>
    </r>
  </si>
  <si>
    <r>
      <t>虱目魚丸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花枝丸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肉羹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魷魚羹</t>
    </r>
  </si>
  <si>
    <t>蕃茄醬</t>
  </si>
  <si>
    <t>玉米醬</t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</si>
  <si>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豆乾包</t>
    </r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</si>
  <si>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培根</t>
    </r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</si>
  <si>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</rPr>
      <t>雞腿</t>
    </r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</si>
  <si>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濕</t>
    </r>
    <r>
      <rPr>
        <sz val="12.5"/>
        <rFont val="Times New Roman"/>
        <family val="1"/>
      </rPr>
      <t>)</t>
    </r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</si>
  <si>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豆腐乳</t>
    </r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</si>
  <si>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牛肉干</t>
    </r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</si>
  <si>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豬腎</t>
    </r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</si>
  <si>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魚肉鬆</t>
    </r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</si>
  <si>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豬肚</t>
    </r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</si>
  <si>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魚丸</t>
    </r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</si>
  <si>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水晶丸</t>
    </r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</si>
  <si>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牛條肉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</si>
  <si>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</si>
  <si>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</si>
  <si>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</si>
  <si>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</si>
  <si>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</si>
  <si>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</si>
  <si>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</si>
  <si>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</si>
  <si>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</si>
  <si>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</si>
  <si>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</si>
  <si>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</si>
  <si>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</si>
  <si>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</si>
  <si>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</si>
  <si>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用餐人數</t>
  </si>
  <si>
    <t>沙拉油每天用量</t>
  </si>
  <si>
    <t>3.3kg</t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</si>
  <si>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</rPr>
      <t>罐</t>
    </r>
  </si>
  <si>
    <t>411kg</t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</si>
  <si>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</rPr>
      <t>隻</t>
    </r>
    <r>
      <rPr>
        <b/>
        <sz val="16"/>
        <color indexed="39"/>
        <rFont val="Times New Roman"/>
        <family val="1"/>
      </rPr>
      <t>600g</t>
    </r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</si>
  <si>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</si>
  <si>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600g</t>
    </r>
  </si>
  <si>
    <r>
      <t>米粉一包</t>
    </r>
    <r>
      <rPr>
        <b/>
        <sz val="16"/>
        <color indexed="39"/>
        <rFont val="Times New Roman"/>
        <family val="1"/>
      </rPr>
      <t>400g</t>
    </r>
  </si>
  <si>
    <r>
      <t>雞腿排一個</t>
    </r>
    <r>
      <rPr>
        <b/>
        <sz val="12"/>
        <color indexed="39"/>
        <rFont val="Times New Roman"/>
        <family val="1"/>
      </rPr>
      <t>170g</t>
    </r>
  </si>
  <si>
    <r>
      <t>豆腐一板</t>
    </r>
    <r>
      <rPr>
        <b/>
        <sz val="16"/>
        <color indexed="39"/>
        <rFont val="Times New Roman"/>
        <family val="1"/>
      </rPr>
      <t>2.4kg</t>
    </r>
  </si>
  <si>
    <r>
      <t>鳳梨一桶</t>
    </r>
    <r>
      <rPr>
        <b/>
        <sz val="16"/>
        <color indexed="39"/>
        <rFont val="Times New Roman"/>
        <family val="1"/>
      </rPr>
      <t>3kg</t>
    </r>
  </si>
  <si>
    <r>
      <t>大陸餅一個</t>
    </r>
    <r>
      <rPr>
        <b/>
        <sz val="12"/>
        <color indexed="39"/>
        <rFont val="Times New Roman"/>
        <family val="1"/>
      </rPr>
      <t>100g</t>
    </r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</si>
  <si>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</rPr>
      <t>公斤</t>
    </r>
  </si>
  <si>
    <r>
      <t>豬肝一副</t>
    </r>
    <r>
      <rPr>
        <b/>
        <sz val="16"/>
        <color indexed="39"/>
        <rFont val="Times New Roman"/>
        <family val="1"/>
      </rPr>
      <t>1.5kg</t>
    </r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</si>
  <si>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90g</t>
    </r>
  </si>
  <si>
    <r>
      <t>魚排一個</t>
    </r>
    <r>
      <rPr>
        <b/>
        <sz val="12"/>
        <color indexed="39"/>
        <rFont val="Times New Roman"/>
        <family val="1"/>
      </rPr>
      <t>115g</t>
    </r>
  </si>
  <si>
    <t>蔬菜類-每份100g 含蛋白質1公克，醣類5公克，熱量25大卡</t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</si>
  <si>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克</t>
    </r>
    <r>
      <rPr>
        <sz val="12"/>
        <rFont val="Times New Roman"/>
        <family val="1"/>
      </rPr>
      <t>)</t>
    </r>
  </si>
  <si>
    <r>
      <t>星期一食材</t>
    </r>
    <r>
      <rPr>
        <sz val="12"/>
        <rFont val="Times New Roman"/>
        <family val="1"/>
      </rPr>
      <t>kg</t>
    </r>
  </si>
  <si>
    <r>
      <t>星期二食材</t>
    </r>
    <r>
      <rPr>
        <sz val="12"/>
        <rFont val="Times New Roman"/>
        <family val="1"/>
      </rPr>
      <t>kg</t>
    </r>
  </si>
  <si>
    <r>
      <t>星期三食材</t>
    </r>
    <r>
      <rPr>
        <sz val="12"/>
        <rFont val="Times New Roman"/>
        <family val="1"/>
      </rPr>
      <t>kg</t>
    </r>
  </si>
  <si>
    <r>
      <t>星期四食材</t>
    </r>
    <r>
      <rPr>
        <sz val="12"/>
        <rFont val="Times New Roman"/>
        <family val="1"/>
      </rPr>
      <t>kg</t>
    </r>
  </si>
  <si>
    <r>
      <t>星期五食材</t>
    </r>
    <r>
      <rPr>
        <sz val="12"/>
        <rFont val="Times New Roman"/>
        <family val="1"/>
      </rPr>
      <t>kg</t>
    </r>
  </si>
  <si>
    <t>奶類-每份240CC含蛋白質8公克，醣類12公克</t>
  </si>
  <si>
    <t>養樂多(每人幾瓶為單位)</t>
  </si>
  <si>
    <t>特殊類或另外類</t>
  </si>
  <si>
    <t>肉圓(每人幾粒為單位)</t>
  </si>
  <si>
    <t>五穀類-每份含蛋白質2公克，醣類15公克，熱量70大卡</t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</si>
  <si>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冬粉</t>
    </r>
  </si>
  <si>
    <r>
      <t xml:space="preserve"> 2</t>
    </r>
    <r>
      <rPr>
        <sz val="12.5"/>
        <rFont val="新細明體"/>
        <family val="1"/>
      </rPr>
      <t>大匙</t>
    </r>
  </si>
  <si>
    <r>
      <t xml:space="preserve">1.5  </t>
    </r>
    <r>
      <rPr>
        <sz val="12.5"/>
        <rFont val="新細明體"/>
        <family val="1"/>
      </rPr>
      <t>大匙</t>
    </r>
  </si>
  <si>
    <t>麥粉、麵粉</t>
  </si>
  <si>
    <t>拉麵</t>
  </si>
  <si>
    <t>土司【小】</t>
  </si>
  <si>
    <t>豬血糕、芋粿、白年糕</t>
  </si>
  <si>
    <t>通心粉（乾）</t>
  </si>
  <si>
    <r>
      <t>4</t>
    </r>
    <r>
      <rPr>
        <sz val="12.5"/>
        <rFont val="新細明體"/>
        <family val="1"/>
      </rPr>
      <t>張</t>
    </r>
  </si>
  <si>
    <t>米粉（濕）</t>
  </si>
  <si>
    <t>油麵</t>
  </si>
  <si>
    <t>番薯【小】</t>
  </si>
  <si>
    <r>
      <t>1/2</t>
    </r>
    <r>
      <rPr>
        <sz val="12.5"/>
        <rFont val="新細明體"/>
        <family val="1"/>
      </rPr>
      <t>個</t>
    </r>
  </si>
  <si>
    <t>豌豆仁</t>
  </si>
  <si>
    <t>馬鈴薯【中】</t>
  </si>
  <si>
    <t>粥（稠）</t>
  </si>
  <si>
    <t>魚肉豆蛋類（低脂）-每份含蛋白質7公克，脂肪3公克， 熱量55大卡</t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</si>
  <si>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鍋貼每個</t>
    </r>
    <r>
      <rPr>
        <sz val="12.5"/>
        <rFont val="Times New Roman"/>
        <family val="1"/>
      </rPr>
      <t>100g</t>
    </r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</si>
  <si>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雞茸</t>
    </r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</si>
  <si>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獅子頭</t>
    </r>
  </si>
  <si>
    <t>牛肚、豬心、豬肝、雞胗</t>
  </si>
  <si>
    <t>麵腸、麵丸、烤麩</t>
  </si>
  <si>
    <t>蟹味棒</t>
  </si>
  <si>
    <t>帶骨排骨</t>
  </si>
  <si>
    <t>牡蠣</t>
  </si>
  <si>
    <t>蟹腿肉</t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</si>
  <si>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</rPr>
      <t>）</t>
    </r>
  </si>
  <si>
    <t>魚肉豆蛋類（中脂）-每份含蛋白質7公克，脂肪5公克， 熱量75大卡</t>
  </si>
  <si>
    <t>油豆腐、豆鼓</t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</si>
  <si>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燒賣</t>
    </r>
  </si>
  <si>
    <t>雞翅、雞排、羊肉、豬腳</t>
  </si>
  <si>
    <t>味噌</t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</si>
  <si>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鮭鮪魚</t>
    </r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</si>
  <si>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滷蛋一個約</t>
    </r>
    <r>
      <rPr>
        <sz val="12.5"/>
        <rFont val="Times New Roman"/>
        <family val="1"/>
      </rPr>
      <t>60g</t>
    </r>
  </si>
  <si>
    <t>豆腐</t>
  </si>
  <si>
    <t>盒裝豆腐</t>
  </si>
  <si>
    <t>魚肉豆蛋類（高脂）-每份含蛋白質7公克，脂肪10公克以上熱量120（135）大卡</t>
  </si>
  <si>
    <t>麵筋泡</t>
  </si>
  <si>
    <t>秋刀魚</t>
  </si>
  <si>
    <t>豬蹄膀、蒜味香腸</t>
  </si>
  <si>
    <t>鱈魚</t>
  </si>
  <si>
    <t>雞心、熱狗</t>
  </si>
  <si>
    <t xml:space="preserve">水果類-含醣類15公克，熱量60大卡                    </t>
  </si>
  <si>
    <t>柿干、榴槤</t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</si>
  <si>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櫻桃</t>
    </r>
  </si>
  <si>
    <t>浸柿（硬）</t>
  </si>
  <si>
    <t>荔枝</t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</si>
  <si>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</t>
    </r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</si>
  <si>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龍眼</t>
    </r>
  </si>
  <si>
    <t>水蜜桃</t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</si>
  <si>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桶柑</t>
    </r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</si>
  <si>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世紀梨</t>
    </r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</si>
  <si>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葡萄柚</t>
    </r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</si>
  <si>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番石榴</t>
    </r>
  </si>
  <si>
    <t>香瓜</t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</si>
  <si>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白文旦</t>
    </r>
  </si>
  <si>
    <t>鳳梨</t>
  </si>
  <si>
    <t>蓮霧</t>
  </si>
  <si>
    <t>梨子瓜</t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</si>
  <si>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木瓜</t>
    </r>
  </si>
  <si>
    <t>檸檬</t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</si>
  <si>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黃西瓜</t>
    </r>
  </si>
  <si>
    <t>山竹</t>
  </si>
  <si>
    <t>油脂類-每份含脂肪5公克，熱量45大卡</t>
  </si>
  <si>
    <t>植物油、動物油</t>
  </si>
  <si>
    <t>1t</t>
  </si>
  <si>
    <t>瑪琪琳、蛋黃醬</t>
  </si>
  <si>
    <t xml:space="preserve">  1  T</t>
  </si>
  <si>
    <t xml:space="preserve">  1t</t>
  </si>
  <si>
    <t>黑（白）芝麻</t>
  </si>
  <si>
    <t xml:space="preserve">  2 t</t>
  </si>
  <si>
    <t>培根</t>
  </si>
  <si>
    <t xml:space="preserve">  1T</t>
  </si>
  <si>
    <r>
      <t xml:space="preserve"> 10</t>
    </r>
    <r>
      <rPr>
        <sz val="12.5"/>
        <rFont val="新細明體"/>
        <family val="1"/>
      </rPr>
      <t>粒</t>
    </r>
  </si>
  <si>
    <t xml:space="preserve">  4T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</si>
  <si>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</si>
  <si>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</si>
  <si>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</si>
  <si>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</si>
  <si>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</si>
  <si>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</si>
  <si>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</si>
  <si>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</si>
  <si>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</si>
  <si>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</si>
  <si>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</si>
  <si>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</si>
  <si>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</si>
  <si>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</si>
  <si>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</si>
  <si>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</si>
  <si>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</si>
  <si>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</si>
  <si>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</si>
  <si>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</si>
  <si>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</si>
  <si>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</si>
  <si>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</si>
  <si>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</si>
  <si>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</si>
  <si>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</si>
  <si>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四</t>
  </si>
  <si>
    <t>白飯</t>
  </si>
  <si>
    <t>本月用餐天數</t>
  </si>
  <si>
    <t>學童營養午餐食譜設計表</t>
  </si>
  <si>
    <t>沙茶醬</t>
  </si>
  <si>
    <t>豆干片</t>
  </si>
  <si>
    <t>小白菜</t>
  </si>
  <si>
    <t>韮菜含有蛋白質、脂防、碳水化合物、粗纖維、鈣、磷、胡蘿蔔素等營養成分，並且有很好的消炎殺菌作用。</t>
  </si>
  <si>
    <t>玉米炒蛋</t>
  </si>
  <si>
    <t>炒鮮蔬</t>
  </si>
  <si>
    <t>時蔬</t>
  </si>
  <si>
    <t>全榖根莖類</t>
  </si>
  <si>
    <t>豆魚肉蛋類</t>
  </si>
  <si>
    <t>蔬菜類</t>
  </si>
  <si>
    <t>水果類</t>
  </si>
  <si>
    <t>果種子類油脂與堅</t>
  </si>
  <si>
    <t>熱量</t>
  </si>
  <si>
    <t>份</t>
  </si>
  <si>
    <t>大卡</t>
  </si>
  <si>
    <t>乳品類</t>
  </si>
  <si>
    <t>雞蛋</t>
  </si>
  <si>
    <t>清炒甘藍</t>
  </si>
  <si>
    <t>肉羹湯</t>
  </si>
  <si>
    <t>筍籤</t>
  </si>
  <si>
    <t>沙茶魷魚條</t>
  </si>
  <si>
    <t>魷魚條</t>
  </si>
  <si>
    <t>花生滷肉</t>
  </si>
  <si>
    <t>豬肉丁</t>
  </si>
  <si>
    <t>熟花生</t>
  </si>
  <si>
    <t>白蘿蔔</t>
  </si>
  <si>
    <t>肉羹</t>
  </si>
  <si>
    <t>魷魚的脂肪含量低，且富含不飽和脂肪酸DHA、EPA，加上大量的牛磺酸，可以減少血管內壁上膽固醇的囤積。鈣質有助於牙齒、骨骼的健康；維生素B6、B12可以改善貧血的情形，尤其適合骨質疏鬆或貧血患者食用。</t>
  </si>
  <si>
    <t>白蘿蔔中含有豐富的維生素C與微量的鋅，可加強人體免疫功能，膳食纖維有助於腸胃消化，減少糞便在腸道停留的時間，可預防大腸癌</t>
  </si>
  <si>
    <t>三</t>
  </si>
  <si>
    <t>水果含有豐富的維生素C、維生素A以及人體必需的各種礦物質，可以促進健康、增強孩子的免疫力</t>
  </si>
  <si>
    <t>米粉湯</t>
  </si>
  <si>
    <t>瑞穗牛奶饅頭</t>
  </si>
  <si>
    <t>瑞穗饅頭</t>
  </si>
  <si>
    <t>水果</t>
  </si>
  <si>
    <t>份</t>
  </si>
  <si>
    <t>大卡</t>
  </si>
  <si>
    <t>午餐執行秘書</t>
  </si>
  <si>
    <t>白菜蛋花湯</t>
  </si>
  <si>
    <t>白酸菜</t>
  </si>
  <si>
    <t>筍片</t>
  </si>
  <si>
    <r>
      <t>1</t>
    </r>
    <r>
      <rPr>
        <sz val="12"/>
        <rFont val="標楷體"/>
        <family val="4"/>
      </rPr>
      <t>桶</t>
    </r>
  </si>
  <si>
    <t>五</t>
  </si>
  <si>
    <t>炒鮮蔬</t>
  </si>
  <si>
    <t>時蔬</t>
  </si>
  <si>
    <t>銀蘿味噌湯</t>
  </si>
  <si>
    <t>白蘿蔔</t>
  </si>
  <si>
    <t>份</t>
  </si>
  <si>
    <t>味噌</t>
  </si>
  <si>
    <t>味噌含有優良蛋白質、多種胺基酸、鐵、磷、鈣、鉀、維生素E、維生素B群、大豆異黃酮、卵磷脂等營養素</t>
  </si>
  <si>
    <t>碎培根</t>
  </si>
  <si>
    <t>基隆市安樂國民小學</t>
  </si>
  <si>
    <t>白飯</t>
  </si>
  <si>
    <t>蒜片</t>
  </si>
  <si>
    <t>不用送</t>
  </si>
  <si>
    <t>小朋友要多吃飯才健康喔!</t>
  </si>
  <si>
    <t>供應商營養師:陳怡樺</t>
  </si>
  <si>
    <t>校  長</t>
  </si>
  <si>
    <t>雞蛋</t>
  </si>
  <si>
    <t>冷凍玉米粒</t>
  </si>
  <si>
    <t>雞蛋</t>
  </si>
  <si>
    <t>馬鈴薯</t>
  </si>
  <si>
    <t>酸菜小腸湯</t>
  </si>
  <si>
    <t>小腸</t>
  </si>
  <si>
    <t>中粗米粉50包</t>
  </si>
  <si>
    <t>芹菜</t>
  </si>
  <si>
    <t>馬鈴薯</t>
  </si>
  <si>
    <t>滷豬腳</t>
  </si>
  <si>
    <t>豬腳丁</t>
  </si>
  <si>
    <t>豬肉丁</t>
  </si>
  <si>
    <t>冰糖</t>
  </si>
  <si>
    <t>薑</t>
  </si>
  <si>
    <t>小魚乾</t>
  </si>
  <si>
    <t>洋芋燒雞</t>
  </si>
  <si>
    <t>培根馬鈴薯</t>
  </si>
  <si>
    <t>109學年度第1學期第16週</t>
  </si>
  <si>
    <t>胡蘿蔔</t>
  </si>
  <si>
    <t>甘藍</t>
  </si>
  <si>
    <t>大蒜(粗)</t>
  </si>
  <si>
    <t>大蒜(片)</t>
  </si>
  <si>
    <t>胡蘿蔔</t>
  </si>
  <si>
    <t>木耳(黑)</t>
  </si>
  <si>
    <t>土光雞丁</t>
  </si>
  <si>
    <t>優酪乳413.豆漿44</t>
  </si>
  <si>
    <t>地瓜飯(地瓜7.2K)</t>
  </si>
  <si>
    <t>芝麻飯</t>
  </si>
  <si>
    <t>黑芝麻1.6k</t>
  </si>
  <si>
    <t>炒時蔬</t>
  </si>
  <si>
    <t>青菜</t>
  </si>
  <si>
    <t>水果</t>
  </si>
  <si>
    <r>
      <t>633</t>
    </r>
    <r>
      <rPr>
        <sz val="12"/>
        <rFont val="標楷體"/>
        <family val="4"/>
      </rPr>
      <t>份</t>
    </r>
  </si>
  <si>
    <r>
      <t>629</t>
    </r>
    <r>
      <rPr>
        <sz val="12"/>
        <rFont val="細明體"/>
        <family val="3"/>
      </rPr>
      <t>個</t>
    </r>
  </si>
  <si>
    <t>傳統豆腐</t>
  </si>
  <si>
    <r>
      <t>1</t>
    </r>
    <r>
      <rPr>
        <sz val="12"/>
        <rFont val="細明體"/>
        <family val="3"/>
      </rPr>
      <t>包</t>
    </r>
  </si>
  <si>
    <t>3K</t>
  </si>
  <si>
    <t>香菇(生)</t>
  </si>
  <si>
    <r>
      <t>3</t>
    </r>
    <r>
      <rPr>
        <sz val="12"/>
        <color indexed="8"/>
        <rFont val="細明體"/>
        <family val="3"/>
      </rPr>
      <t>箱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</si>
  <si>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</si>
  <si>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紅蘿蔔</t>
    </r>
  </si>
  <si>
    <t>豆芽菜</t>
  </si>
  <si>
    <t>油蔥酥</t>
  </si>
  <si>
    <r>
      <t>2</t>
    </r>
    <r>
      <rPr>
        <sz val="12"/>
        <rFont val="細明體"/>
        <family val="3"/>
      </rPr>
      <t>包</t>
    </r>
  </si>
  <si>
    <t>芹菜</t>
  </si>
  <si>
    <t>薑絲</t>
  </si>
  <si>
    <t>豬肉絲</t>
  </si>
  <si>
    <r>
      <rPr>
        <sz val="12"/>
        <color indexed="10"/>
        <rFont val="標楷體"/>
        <family val="4"/>
      </rPr>
      <t>黃瓜</t>
    </r>
    <r>
      <rPr>
        <sz val="12"/>
        <rFont val="標楷體"/>
        <family val="4"/>
      </rPr>
      <t>甜條</t>
    </r>
  </si>
  <si>
    <t>胡瓜</t>
  </si>
  <si>
    <t>衛生福利部 國民健康署「每日飲食指南」、菜單豬雞肉皆使用國產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</si>
</sst>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[$-404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2.5"/>
      <name val="細明體"/>
      <family val="3"/>
    </font>
    <font>
      <b/>
      <sz val="16"/>
      <color indexed="10"/>
      <name val="新細明體"/>
      <family val="1"/>
    </font>
    <font>
      <b/>
      <sz val="16"/>
      <color indexed="39"/>
      <name val="新細明體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color indexed="39"/>
      <name val="新細明體"/>
      <family val="1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</font>
    <font>
      <b/>
      <sz val="12"/>
      <color indexed="3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2"/>
      <name val="標楷體"/>
      <family val="4"/>
    </font>
    <font>
      <sz val="12"/>
      <color indexed="8"/>
      <name val="細明體"/>
      <family val="3"/>
    </font>
    <font>
      <sz val="14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10"/>
      <name val="Book Antiqua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2"/>
      <color theme="1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ck">
        <color indexed="39"/>
      </left>
      <right style="thin"/>
      <top style="thick">
        <color indexed="39"/>
      </top>
      <bottom style="thin"/>
    </border>
    <border>
      <left style="thin"/>
      <right style="thin"/>
      <top style="thick">
        <color indexed="39"/>
      </top>
      <bottom style="thin"/>
    </border>
    <border>
      <left style="thin"/>
      <right style="thick">
        <color indexed="39"/>
      </right>
      <top style="thick">
        <color indexed="39"/>
      </top>
      <bottom style="thin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/>
      <right style="thin"/>
      <top style="thick">
        <color indexed="39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>
        <color indexed="3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39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39"/>
      </right>
      <top style="thin"/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0" fontId="3" fillId="0" borderId="39" xfId="0" applyFont="1" applyBorder="1" applyAlignment="1">
      <alignment horizontal="right" vertical="top" wrapText="1"/>
    </xf>
    <xf numFmtId="0" fontId="0" fillId="0" borderId="39" xfId="0" applyBorder="1" applyAlignment="1">
      <alignment/>
    </xf>
    <xf numFmtId="0" fontId="0" fillId="0" borderId="39" xfId="0" applyBorder="1" applyAlignment="1">
      <alignment vertical="top" wrapText="1"/>
    </xf>
    <xf numFmtId="0" fontId="10" fillId="0" borderId="39" xfId="0" applyFont="1" applyBorder="1" applyAlignment="1">
      <alignment horizontal="right" vertical="top" wrapText="1"/>
    </xf>
    <xf numFmtId="0" fontId="9" fillId="0" borderId="39" xfId="0" applyFont="1" applyBorder="1" applyAlignment="1">
      <alignment vertical="top" wrapText="1"/>
    </xf>
    <xf numFmtId="0" fontId="9" fillId="0" borderId="39" xfId="0" applyFont="1" applyBorder="1" applyAlignment="1">
      <alignment/>
    </xf>
    <xf numFmtId="0" fontId="10" fillId="0" borderId="39" xfId="0" applyFont="1" applyBorder="1" applyAlignment="1">
      <alignment vertical="top" wrapText="1"/>
    </xf>
    <xf numFmtId="0" fontId="9" fillId="0" borderId="39" xfId="0" applyFont="1" applyBorder="1" applyAlignment="1">
      <alignment horizontal="right" wrapText="1"/>
    </xf>
    <xf numFmtId="0" fontId="9" fillId="0" borderId="39" xfId="0" applyFont="1" applyBorder="1" applyAlignment="1">
      <alignment horizontal="right" vertical="top" wrapText="1"/>
    </xf>
    <xf numFmtId="0" fontId="11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 indent="1"/>
    </xf>
    <xf numFmtId="0" fontId="0" fillId="0" borderId="39" xfId="0" applyFont="1" applyBorder="1" applyAlignment="1">
      <alignment horizontal="right" vertical="top" wrapText="1"/>
    </xf>
    <xf numFmtId="0" fontId="10" fillId="0" borderId="39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179" fontId="14" fillId="34" borderId="39" xfId="0" applyNumberFormat="1" applyFont="1" applyFill="1" applyBorder="1" applyAlignment="1" applyProtection="1">
      <alignment vertical="center"/>
      <protection locked="0"/>
    </xf>
    <xf numFmtId="179" fontId="15" fillId="0" borderId="40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9" fillId="0" borderId="39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8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right" vertical="top" wrapText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44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44" xfId="0" applyFont="1" applyBorder="1" applyAlignment="1">
      <alignment vertical="top" wrapText="1"/>
    </xf>
    <xf numFmtId="0" fontId="10" fillId="0" borderId="44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right" wrapText="1"/>
    </xf>
    <xf numFmtId="0" fontId="3" fillId="0" borderId="51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0" fontId="3" fillId="0" borderId="48" xfId="0" applyFont="1" applyBorder="1" applyAlignment="1">
      <alignment/>
    </xf>
    <xf numFmtId="177" fontId="10" fillId="0" borderId="44" xfId="0" applyNumberFormat="1" applyFont="1" applyBorder="1" applyAlignment="1">
      <alignment horizontal="right" vertical="top" wrapText="1"/>
    </xf>
    <xf numFmtId="12" fontId="10" fillId="0" borderId="44" xfId="0" applyNumberFormat="1" applyFont="1" applyBorder="1" applyAlignment="1">
      <alignment horizontal="right" vertical="top" wrapText="1"/>
    </xf>
    <xf numFmtId="0" fontId="11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9" fillId="0" borderId="5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4" fillId="0" borderId="58" xfId="0" applyFont="1" applyBorder="1" applyAlignment="1">
      <alignment/>
    </xf>
    <xf numFmtId="0" fontId="2" fillId="0" borderId="59" xfId="0" applyFont="1" applyBorder="1" applyAlignment="1" applyProtection="1">
      <alignment vertical="center"/>
      <protection hidden="1"/>
    </xf>
    <xf numFmtId="0" fontId="0" fillId="0" borderId="52" xfId="0" applyFont="1" applyBorder="1" applyAlignment="1">
      <alignment horizontal="right" vertical="top" wrapText="1"/>
    </xf>
    <xf numFmtId="0" fontId="2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>
      <alignment horizontal="right" vertical="top" wrapText="1"/>
    </xf>
    <xf numFmtId="0" fontId="0" fillId="0" borderId="62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9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Border="1" applyAlignment="1">
      <alignment/>
    </xf>
    <xf numFmtId="0" fontId="21" fillId="0" borderId="0" xfId="0" applyFont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31" fillId="0" borderId="76" xfId="0" applyFont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vertical="center" wrapText="1" shrinkToFit="1"/>
    </xf>
    <xf numFmtId="0" fontId="31" fillId="0" borderId="7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8" fillId="35" borderId="0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center" vertical="center" shrinkToFit="1"/>
    </xf>
    <xf numFmtId="0" fontId="79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6" fillId="35" borderId="11" xfId="0" applyFont="1" applyFill="1" applyBorder="1" applyAlignment="1">
      <alignment horizontal="center" vertical="center" shrinkToFit="1"/>
    </xf>
    <xf numFmtId="0" fontId="38" fillId="35" borderId="11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 shrinkToFit="1"/>
    </xf>
    <xf numFmtId="0" fontId="27" fillId="0" borderId="77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78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36" fillId="35" borderId="15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77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7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82" xfId="0" applyFont="1" applyBorder="1" applyAlignment="1">
      <alignment horizontal="center" vertical="center" shrinkToFit="1"/>
    </xf>
    <xf numFmtId="0" fontId="27" fillId="0" borderId="76" xfId="0" applyFont="1" applyBorder="1" applyAlignment="1">
      <alignment horizontal="center" vertical="center" shrinkToFit="1"/>
    </xf>
    <xf numFmtId="0" fontId="37" fillId="35" borderId="11" xfId="0" applyFont="1" applyFill="1" applyBorder="1" applyAlignment="1">
      <alignment horizontal="center" vertical="center" shrinkToFit="1"/>
    </xf>
    <xf numFmtId="0" fontId="37" fillId="35" borderId="15" xfId="0" applyFont="1" applyFill="1" applyBorder="1" applyAlignment="1">
      <alignment horizontal="center" vertical="center" shrinkToFit="1"/>
    </xf>
    <xf numFmtId="0" fontId="80" fillId="35" borderId="15" xfId="0" applyFont="1" applyFill="1" applyBorder="1" applyAlignment="1">
      <alignment horizontal="center" vertical="center" shrinkToFit="1"/>
    </xf>
    <xf numFmtId="0" fontId="38" fillId="35" borderId="17" xfId="0" applyFont="1" applyFill="1" applyBorder="1" applyAlignment="1">
      <alignment horizontal="center" vertical="center" shrinkToFit="1"/>
    </xf>
    <xf numFmtId="0" fontId="36" fillId="35" borderId="17" xfId="0" applyFont="1" applyFill="1" applyBorder="1" applyAlignment="1">
      <alignment horizontal="center" vertical="center" shrinkToFit="1"/>
    </xf>
    <xf numFmtId="0" fontId="37" fillId="35" borderId="17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38" fillId="0" borderId="77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38" fillId="0" borderId="83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81" fillId="0" borderId="11" xfId="0" applyFont="1" applyBorder="1" applyAlignment="1">
      <alignment horizontal="center" vertical="center" shrinkToFit="1"/>
    </xf>
    <xf numFmtId="0" fontId="82" fillId="0" borderId="11" xfId="0" applyFont="1" applyBorder="1" applyAlignment="1">
      <alignment horizontal="center" vertical="center" shrinkToFit="1"/>
    </xf>
    <xf numFmtId="0" fontId="81" fillId="35" borderId="82" xfId="0" applyFont="1" applyFill="1" applyBorder="1" applyAlignment="1">
      <alignment horizontal="center" vertical="center" shrinkToFit="1"/>
    </xf>
    <xf numFmtId="0" fontId="81" fillId="0" borderId="78" xfId="0" applyFont="1" applyBorder="1" applyAlignment="1">
      <alignment horizontal="center" vertical="center" shrinkToFit="1"/>
    </xf>
    <xf numFmtId="0" fontId="82" fillId="0" borderId="17" xfId="0" applyFont="1" applyBorder="1" applyAlignment="1">
      <alignment horizontal="center" vertical="center" shrinkToFit="1"/>
    </xf>
    <xf numFmtId="0" fontId="81" fillId="0" borderId="15" xfId="0" applyFont="1" applyBorder="1" applyAlignment="1">
      <alignment horizontal="center" vertical="center" shrinkToFit="1"/>
    </xf>
    <xf numFmtId="0" fontId="28" fillId="35" borderId="0" xfId="0" applyFont="1" applyFill="1" applyBorder="1" applyAlignment="1">
      <alignment horizontal="center" vertical="center" shrinkToFit="1"/>
    </xf>
    <xf numFmtId="178" fontId="32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8" fontId="27" fillId="0" borderId="15" xfId="0" applyNumberFormat="1" applyFont="1" applyBorder="1" applyAlignment="1">
      <alignment horizontal="center" vertical="center" textRotation="255" shrinkToFit="1"/>
    </xf>
    <xf numFmtId="178" fontId="27" fillId="0" borderId="17" xfId="0" applyNumberFormat="1" applyFont="1" applyBorder="1" applyAlignment="1">
      <alignment horizontal="center" vertical="center" textRotation="255" shrinkToFit="1"/>
    </xf>
    <xf numFmtId="0" fontId="27" fillId="0" borderId="11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8" fillId="0" borderId="7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1" fillId="0" borderId="76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255" shrinkToFit="1"/>
    </xf>
    <xf numFmtId="0" fontId="28" fillId="0" borderId="17" xfId="0" applyFont="1" applyBorder="1" applyAlignment="1">
      <alignment horizontal="center" vertical="center" textRotation="255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84" xfId="0" applyFont="1" applyBorder="1" applyAlignment="1">
      <alignment horizontal="center" vertical="center" shrinkToFit="1"/>
    </xf>
    <xf numFmtId="0" fontId="33" fillId="0" borderId="54" xfId="0" applyFont="1" applyBorder="1" applyAlignment="1">
      <alignment horizontal="center" vertical="center" shrinkToFit="1"/>
    </xf>
    <xf numFmtId="178" fontId="32" fillId="0" borderId="15" xfId="0" applyNumberFormat="1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177" fontId="27" fillId="0" borderId="11" xfId="0" applyNumberFormat="1" applyFont="1" applyBorder="1" applyAlignment="1">
      <alignment horizontal="center" vertical="center" textRotation="255"/>
    </xf>
    <xf numFmtId="177" fontId="27" fillId="0" borderId="15" xfId="0" applyNumberFormat="1" applyFont="1" applyBorder="1" applyAlignment="1">
      <alignment horizontal="center" vertical="center" textRotation="255"/>
    </xf>
    <xf numFmtId="177" fontId="27" fillId="0" borderId="17" xfId="0" applyNumberFormat="1" applyFont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textRotation="255"/>
    </xf>
    <xf numFmtId="0" fontId="34" fillId="0" borderId="15" xfId="0" applyFont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shrinkToFit="1"/>
    </xf>
    <xf numFmtId="178" fontId="32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textRotation="255"/>
    </xf>
    <xf numFmtId="0" fontId="41" fillId="0" borderId="15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 textRotation="255"/>
    </xf>
    <xf numFmtId="0" fontId="29" fillId="0" borderId="79" xfId="0" applyFont="1" applyBorder="1" applyAlignment="1">
      <alignment horizontal="center" vertical="center" shrinkToFit="1"/>
    </xf>
    <xf numFmtId="0" fontId="29" fillId="0" borderId="82" xfId="0" applyFont="1" applyBorder="1" applyAlignment="1">
      <alignment horizontal="center" vertical="center" shrinkToFit="1"/>
    </xf>
    <xf numFmtId="0" fontId="29" fillId="0" borderId="80" xfId="0" applyFont="1" applyBorder="1" applyAlignment="1">
      <alignment horizontal="center" vertical="center" shrinkToFit="1"/>
    </xf>
    <xf numFmtId="0" fontId="29" fillId="0" borderId="77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78" xfId="0" applyFont="1" applyBorder="1" applyAlignment="1">
      <alignment horizontal="center" vertical="center" shrinkToFit="1"/>
    </xf>
    <xf numFmtId="0" fontId="29" fillId="0" borderId="76" xfId="0" applyFont="1" applyBorder="1" applyAlignment="1">
      <alignment horizontal="center" vertical="center" shrinkToFit="1"/>
    </xf>
    <xf numFmtId="0" fontId="29" fillId="0" borderId="81" xfId="0" applyFont="1" applyBorder="1" applyAlignment="1">
      <alignment horizontal="center" vertical="center" shrinkToFit="1"/>
    </xf>
    <xf numFmtId="0" fontId="33" fillId="35" borderId="44" xfId="0" applyFont="1" applyFill="1" applyBorder="1" applyAlignment="1">
      <alignment horizontal="center" vertical="center" shrinkToFit="1"/>
    </xf>
    <xf numFmtId="0" fontId="33" fillId="35" borderId="84" xfId="0" applyFont="1" applyFill="1" applyBorder="1" applyAlignment="1">
      <alignment horizontal="center" vertical="center" shrinkToFit="1"/>
    </xf>
    <xf numFmtId="0" fontId="33" fillId="35" borderId="54" xfId="0" applyFont="1" applyFill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textRotation="255" wrapText="1" shrinkToFit="1"/>
    </xf>
    <xf numFmtId="0" fontId="28" fillId="0" borderId="39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9" fillId="0" borderId="85" xfId="0" applyFont="1" applyBorder="1" applyAlignment="1">
      <alignment horizontal="center" vertical="center" shrinkToFit="1"/>
    </xf>
    <xf numFmtId="178" fontId="32" fillId="35" borderId="15" xfId="0" applyNumberFormat="1" applyFont="1" applyFill="1" applyBorder="1" applyAlignment="1">
      <alignment horizontal="center" vertical="center" shrinkToFit="1"/>
    </xf>
    <xf numFmtId="177" fontId="27" fillId="0" borderId="11" xfId="0" applyNumberFormat="1" applyFont="1" applyBorder="1" applyAlignment="1">
      <alignment horizontal="center" vertical="center" textRotation="255" shrinkToFit="1"/>
    </xf>
    <xf numFmtId="177" fontId="27" fillId="0" borderId="15" xfId="0" applyNumberFormat="1" applyFont="1" applyBorder="1" applyAlignment="1">
      <alignment horizontal="center" vertical="center" textRotation="255" shrinkToFit="1"/>
    </xf>
    <xf numFmtId="177" fontId="27" fillId="0" borderId="17" xfId="0" applyNumberFormat="1" applyFont="1" applyBorder="1" applyAlignment="1">
      <alignment horizontal="center" vertical="center" textRotation="255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35" fillId="35" borderId="44" xfId="0" applyFont="1" applyFill="1" applyBorder="1" applyAlignment="1">
      <alignment horizontal="center" vertical="center" shrinkToFit="1"/>
    </xf>
    <xf numFmtId="0" fontId="35" fillId="35" borderId="84" xfId="0" applyFont="1" applyFill="1" applyBorder="1" applyAlignment="1">
      <alignment horizontal="center" vertical="center" shrinkToFit="1"/>
    </xf>
    <xf numFmtId="0" fontId="35" fillId="35" borderId="54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34" fillId="35" borderId="80" xfId="0" applyFont="1" applyFill="1" applyBorder="1" applyAlignment="1">
      <alignment horizontal="center" vertical="center" textRotation="255"/>
    </xf>
    <xf numFmtId="0" fontId="34" fillId="35" borderId="83" xfId="0" applyFont="1" applyFill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/>
    </xf>
    <xf numFmtId="0" fontId="8" fillId="0" borderId="81" xfId="0" applyFont="1" applyBorder="1" applyAlignment="1">
      <alignment horizontal="center" vertical="center" textRotation="255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9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61" fillId="0" borderId="79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77</xdr:row>
      <xdr:rowOff>66675</xdr:rowOff>
    </xdr:from>
    <xdr:to>
      <xdr:col>6</xdr:col>
      <xdr:colOff>266700</xdr:colOff>
      <xdr:row>78</xdr:row>
      <xdr:rowOff>38100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820650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115" zoomScaleNormal="115" zoomScalePageLayoutView="0" workbookViewId="0" topLeftCell="A45">
      <selection activeCell="AC69" sqref="AC69"/>
    </sheetView>
  </sheetViews>
  <sheetFormatPr defaultColWidth="9.00390625" defaultRowHeight="16.5"/>
  <cols>
    <col min="1" max="1" width="14.875" style="122" customWidth="1"/>
    <col min="2" max="4" width="3.625" style="122" customWidth="1"/>
    <col min="5" max="5" width="11.625" style="122" customWidth="1"/>
    <col min="6" max="7" width="6.50390625" style="122" customWidth="1"/>
    <col min="8" max="8" width="6.25390625" style="122" customWidth="1"/>
    <col min="9" max="9" width="3.125" style="122" customWidth="1"/>
    <col min="10" max="10" width="3.875" style="122" customWidth="1"/>
    <col min="11" max="12" width="4.50390625" style="122" customWidth="1"/>
    <col min="13" max="21" width="3.875" style="122" customWidth="1"/>
    <col min="22" max="22" width="4.50390625" style="122" customWidth="1"/>
    <col min="23" max="25" width="3.875" style="122" customWidth="1"/>
    <col min="26" max="26" width="2.50390625" style="122" customWidth="1"/>
    <col min="27" max="27" width="12.375" style="122" customWidth="1"/>
    <col min="28" max="28" width="9.125" style="122" bestFit="1" customWidth="1"/>
    <col min="29" max="30" width="9.00390625" style="122" customWidth="1"/>
    <col min="31" max="31" width="4.50390625" style="122" bestFit="1" customWidth="1"/>
    <col min="32" max="32" width="9.00390625" style="122" customWidth="1"/>
    <col min="33" max="33" width="4.50390625" style="122" bestFit="1" customWidth="1"/>
    <col min="34" max="35" width="5.625" style="122" customWidth="1"/>
    <col min="36" max="36" width="9.00390625" style="122" customWidth="1"/>
    <col min="37" max="37" width="5.625" style="122" customWidth="1"/>
    <col min="38" max="38" width="9.00390625" style="122" customWidth="1"/>
    <col min="39" max="40" width="5.625" style="122" customWidth="1"/>
    <col min="41" max="41" width="9.00390625" style="122" customWidth="1"/>
    <col min="42" max="42" width="5.625" style="122" customWidth="1"/>
    <col min="43" max="43" width="9.00390625" style="122" customWidth="1"/>
    <col min="44" max="44" width="11.625" style="122" bestFit="1" customWidth="1"/>
    <col min="45" max="16384" width="9.00390625" style="122" customWidth="1"/>
  </cols>
  <sheetData>
    <row r="1" spans="16:25" ht="15.75">
      <c r="P1" s="207" t="s">
        <v>283</v>
      </c>
      <c r="Q1" s="207"/>
      <c r="R1" s="207"/>
      <c r="S1" s="207"/>
      <c r="T1" s="207"/>
      <c r="U1" s="207"/>
      <c r="V1" s="207"/>
      <c r="Y1" s="125">
        <v>23</v>
      </c>
    </row>
    <row r="2" spans="2:27" ht="15.75" customHeight="1">
      <c r="B2" s="124"/>
      <c r="C2" s="124"/>
      <c r="D2" s="124"/>
      <c r="E2" s="208" t="s">
        <v>336</v>
      </c>
      <c r="F2" s="208"/>
      <c r="G2" s="208"/>
      <c r="H2" s="208" t="s">
        <v>360</v>
      </c>
      <c r="I2" s="208"/>
      <c r="J2" s="208"/>
      <c r="K2" s="208"/>
      <c r="L2" s="208"/>
      <c r="M2" s="208"/>
      <c r="N2" s="129"/>
      <c r="O2" s="129"/>
      <c r="P2" s="208" t="s">
        <v>284</v>
      </c>
      <c r="Q2" s="208"/>
      <c r="R2" s="208"/>
      <c r="S2" s="208"/>
      <c r="T2" s="208"/>
      <c r="U2" s="208"/>
      <c r="V2" s="206" t="s">
        <v>255</v>
      </c>
      <c r="W2" s="206"/>
      <c r="X2" s="206"/>
      <c r="Y2" s="125">
        <v>5</v>
      </c>
      <c r="Z2" s="128"/>
      <c r="AA2" s="127"/>
    </row>
    <row r="3" spans="2:27" ht="14.25" customHeight="1">
      <c r="B3" s="212" t="s">
        <v>103</v>
      </c>
      <c r="C3" s="212" t="s">
        <v>256</v>
      </c>
      <c r="D3" s="212" t="s">
        <v>257</v>
      </c>
      <c r="E3" s="209" t="s">
        <v>258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209" t="s">
        <v>259</v>
      </c>
      <c r="R3" s="210"/>
      <c r="S3" s="211"/>
      <c r="T3" s="209" t="s">
        <v>260</v>
      </c>
      <c r="U3" s="210"/>
      <c r="V3" s="210"/>
      <c r="W3" s="210"/>
      <c r="X3" s="211"/>
      <c r="Y3" s="212" t="s">
        <v>261</v>
      </c>
      <c r="Z3" s="128"/>
      <c r="AA3" s="127"/>
    </row>
    <row r="4" spans="2:27" ht="14.25" customHeight="1">
      <c r="B4" s="213"/>
      <c r="C4" s="213"/>
      <c r="D4" s="213"/>
      <c r="E4" s="255" t="s">
        <v>262</v>
      </c>
      <c r="F4" s="257" t="s">
        <v>274</v>
      </c>
      <c r="G4" s="254" t="s">
        <v>275</v>
      </c>
      <c r="H4" s="257" t="s">
        <v>274</v>
      </c>
      <c r="I4" s="254" t="s">
        <v>275</v>
      </c>
      <c r="J4" s="259" t="s">
        <v>263</v>
      </c>
      <c r="K4" s="260"/>
      <c r="L4" s="260"/>
      <c r="M4" s="260"/>
      <c r="N4" s="260"/>
      <c r="O4" s="260"/>
      <c r="P4" s="261"/>
      <c r="Q4" s="212" t="s">
        <v>264</v>
      </c>
      <c r="R4" s="212" t="s">
        <v>265</v>
      </c>
      <c r="S4" s="212" t="s">
        <v>266</v>
      </c>
      <c r="T4" s="212" t="s">
        <v>267</v>
      </c>
      <c r="U4" s="212" t="s">
        <v>268</v>
      </c>
      <c r="V4" s="212" t="s">
        <v>269</v>
      </c>
      <c r="W4" s="212" t="s">
        <v>270</v>
      </c>
      <c r="X4" s="212" t="s">
        <v>271</v>
      </c>
      <c r="Y4" s="213"/>
      <c r="Z4" s="128"/>
      <c r="AA4" s="127"/>
    </row>
    <row r="5" spans="2:27" ht="14.25" customHeight="1">
      <c r="B5" s="213"/>
      <c r="C5" s="213"/>
      <c r="D5" s="213"/>
      <c r="E5" s="255"/>
      <c r="F5" s="257"/>
      <c r="G5" s="254"/>
      <c r="H5" s="257"/>
      <c r="I5" s="254"/>
      <c r="J5" s="254" t="s">
        <v>292</v>
      </c>
      <c r="K5" s="254" t="s">
        <v>293</v>
      </c>
      <c r="L5" s="254" t="s">
        <v>300</v>
      </c>
      <c r="M5" s="254" t="s">
        <v>294</v>
      </c>
      <c r="N5" s="254" t="s">
        <v>295</v>
      </c>
      <c r="O5" s="253" t="s">
        <v>296</v>
      </c>
      <c r="P5" s="254" t="s">
        <v>297</v>
      </c>
      <c r="Q5" s="213"/>
      <c r="R5" s="213"/>
      <c r="S5" s="213"/>
      <c r="T5" s="213"/>
      <c r="U5" s="213"/>
      <c r="V5" s="213"/>
      <c r="W5" s="213"/>
      <c r="X5" s="213"/>
      <c r="Y5" s="213"/>
      <c r="Z5" s="128"/>
      <c r="AA5" s="127"/>
    </row>
    <row r="6" spans="2:27" ht="14.25" customHeight="1">
      <c r="B6" s="213"/>
      <c r="C6" s="213"/>
      <c r="D6" s="213"/>
      <c r="E6" s="255"/>
      <c r="F6" s="257"/>
      <c r="G6" s="254"/>
      <c r="H6" s="257"/>
      <c r="I6" s="254"/>
      <c r="J6" s="254"/>
      <c r="K6" s="254"/>
      <c r="L6" s="254"/>
      <c r="M6" s="254"/>
      <c r="N6" s="254"/>
      <c r="O6" s="253"/>
      <c r="P6" s="254"/>
      <c r="Q6" s="213"/>
      <c r="R6" s="213"/>
      <c r="S6" s="213"/>
      <c r="T6" s="214"/>
      <c r="U6" s="214"/>
      <c r="V6" s="214"/>
      <c r="W6" s="214"/>
      <c r="X6" s="214"/>
      <c r="Y6" s="213"/>
      <c r="Z6" s="128"/>
      <c r="AA6" s="127"/>
    </row>
    <row r="7" spans="1:27" ht="14.25" customHeight="1">
      <c r="A7" s="122">
        <v>611</v>
      </c>
      <c r="B7" s="214"/>
      <c r="C7" s="214"/>
      <c r="D7" s="214"/>
      <c r="E7" s="256"/>
      <c r="F7" s="258"/>
      <c r="G7" s="254"/>
      <c r="H7" s="257"/>
      <c r="I7" s="212"/>
      <c r="J7" s="254"/>
      <c r="K7" s="254"/>
      <c r="L7" s="254"/>
      <c r="M7" s="254"/>
      <c r="N7" s="254"/>
      <c r="O7" s="253"/>
      <c r="P7" s="254"/>
      <c r="Q7" s="214"/>
      <c r="R7" s="214"/>
      <c r="S7" s="214"/>
      <c r="T7" s="123">
        <v>5</v>
      </c>
      <c r="U7" s="123">
        <v>4</v>
      </c>
      <c r="V7" s="123">
        <v>3</v>
      </c>
      <c r="W7" s="123">
        <v>2</v>
      </c>
      <c r="X7" s="123">
        <v>1</v>
      </c>
      <c r="Y7" s="214"/>
      <c r="Z7" s="128"/>
      <c r="AA7" s="127"/>
    </row>
    <row r="8" spans="2:27" ht="12.75" customHeight="1">
      <c r="B8" s="225">
        <v>44179</v>
      </c>
      <c r="C8" s="203" t="s">
        <v>279</v>
      </c>
      <c r="D8" s="203" t="s">
        <v>282</v>
      </c>
      <c r="E8" s="222" t="s">
        <v>307</v>
      </c>
      <c r="F8" s="144" t="s">
        <v>308</v>
      </c>
      <c r="G8" s="145">
        <f>ROUND(53.6*A7/1000,0)</f>
        <v>33</v>
      </c>
      <c r="H8" s="146" t="s">
        <v>361</v>
      </c>
      <c r="I8" s="145">
        <f>ROUND(6.7*A7/1000,0)</f>
        <v>4</v>
      </c>
      <c r="J8" s="199">
        <v>5.6</v>
      </c>
      <c r="K8" s="199">
        <v>2.5</v>
      </c>
      <c r="L8" s="199">
        <v>0</v>
      </c>
      <c r="M8" s="236">
        <v>1.1</v>
      </c>
      <c r="N8" s="199">
        <v>0</v>
      </c>
      <c r="O8" s="199">
        <v>2.7</v>
      </c>
      <c r="P8" s="199">
        <f>J8*70+K8*75+L8*120+M8*25+O8*45</f>
        <v>728.5</v>
      </c>
      <c r="Q8" s="203"/>
      <c r="R8" s="203"/>
      <c r="S8" s="203"/>
      <c r="T8" s="203"/>
      <c r="U8" s="203"/>
      <c r="V8" s="203"/>
      <c r="W8" s="203"/>
      <c r="X8" s="203"/>
      <c r="Y8" s="203"/>
      <c r="Z8" s="128"/>
      <c r="AA8" s="127"/>
    </row>
    <row r="9" spans="2:27" ht="12.75" customHeight="1">
      <c r="B9" s="226"/>
      <c r="C9" s="204"/>
      <c r="D9" s="204"/>
      <c r="E9" s="223"/>
      <c r="F9" s="146" t="s">
        <v>309</v>
      </c>
      <c r="G9" s="147">
        <f>ROUND(11*A7/1000,0)</f>
        <v>7</v>
      </c>
      <c r="H9" s="146"/>
      <c r="I9" s="147"/>
      <c r="J9" s="200"/>
      <c r="K9" s="200"/>
      <c r="L9" s="200"/>
      <c r="M9" s="237"/>
      <c r="N9" s="200"/>
      <c r="O9" s="200"/>
      <c r="P9" s="200"/>
      <c r="Q9" s="204"/>
      <c r="R9" s="204"/>
      <c r="S9" s="204"/>
      <c r="T9" s="204"/>
      <c r="U9" s="204"/>
      <c r="V9" s="204"/>
      <c r="W9" s="204"/>
      <c r="X9" s="204"/>
      <c r="Y9" s="204"/>
      <c r="Z9" s="128"/>
      <c r="AA9" s="127"/>
    </row>
    <row r="10" spans="2:27" ht="12.75" customHeight="1">
      <c r="B10" s="226"/>
      <c r="C10" s="204"/>
      <c r="D10" s="204"/>
      <c r="E10" s="224"/>
      <c r="F10" s="148" t="s">
        <v>310</v>
      </c>
      <c r="G10" s="149">
        <f>ROUND(26.8*A7/1000,0)</f>
        <v>16</v>
      </c>
      <c r="H10" s="148"/>
      <c r="I10" s="149"/>
      <c r="J10" s="200"/>
      <c r="K10" s="200"/>
      <c r="L10" s="200"/>
      <c r="M10" s="237"/>
      <c r="N10" s="200"/>
      <c r="O10" s="200"/>
      <c r="P10" s="200"/>
      <c r="Q10" s="205"/>
      <c r="R10" s="205"/>
      <c r="S10" s="205"/>
      <c r="T10" s="205"/>
      <c r="U10" s="205"/>
      <c r="V10" s="205"/>
      <c r="W10" s="205"/>
      <c r="X10" s="205"/>
      <c r="Y10" s="204"/>
      <c r="Z10" s="128"/>
      <c r="AA10" s="127"/>
    </row>
    <row r="11" spans="2:27" ht="12.75" customHeight="1">
      <c r="B11" s="226"/>
      <c r="C11" s="204"/>
      <c r="D11" s="204"/>
      <c r="E11" s="228" t="s">
        <v>302</v>
      </c>
      <c r="F11" s="144" t="s">
        <v>362</v>
      </c>
      <c r="G11" s="150">
        <f>ROUND(75*A7/1000,0)</f>
        <v>46</v>
      </c>
      <c r="H11" s="144"/>
      <c r="I11" s="145"/>
      <c r="J11" s="200"/>
      <c r="K11" s="200"/>
      <c r="L11" s="200"/>
      <c r="M11" s="237"/>
      <c r="N11" s="200"/>
      <c r="O11" s="200"/>
      <c r="P11" s="200"/>
      <c r="Q11" s="203"/>
      <c r="R11" s="203"/>
      <c r="S11" s="203"/>
      <c r="T11" s="203"/>
      <c r="U11" s="203"/>
      <c r="V11" s="203"/>
      <c r="W11" s="203"/>
      <c r="X11" s="203"/>
      <c r="Y11" s="204"/>
      <c r="AA11" s="125"/>
    </row>
    <row r="12" spans="2:27" ht="12.75" customHeight="1">
      <c r="B12" s="226"/>
      <c r="C12" s="204"/>
      <c r="D12" s="204"/>
      <c r="E12" s="229"/>
      <c r="F12" s="146" t="s">
        <v>363</v>
      </c>
      <c r="G12" s="151">
        <f>ROUND(0.6*A7/1000,1)</f>
        <v>0.4</v>
      </c>
      <c r="H12" s="146"/>
      <c r="I12" s="147"/>
      <c r="J12" s="200"/>
      <c r="K12" s="200"/>
      <c r="L12" s="200"/>
      <c r="M12" s="237"/>
      <c r="N12" s="200"/>
      <c r="O12" s="200"/>
      <c r="P12" s="200"/>
      <c r="Q12" s="204"/>
      <c r="R12" s="204"/>
      <c r="S12" s="204"/>
      <c r="T12" s="204"/>
      <c r="U12" s="204"/>
      <c r="V12" s="204"/>
      <c r="W12" s="204"/>
      <c r="X12" s="204"/>
      <c r="Y12" s="204"/>
      <c r="Z12" s="125"/>
      <c r="AA12" s="125"/>
    </row>
    <row r="13" spans="2:27" ht="12.75" customHeight="1">
      <c r="B13" s="226"/>
      <c r="C13" s="204"/>
      <c r="D13" s="204"/>
      <c r="E13" s="235"/>
      <c r="F13" s="139"/>
      <c r="G13" s="152"/>
      <c r="H13" s="146"/>
      <c r="I13" s="147"/>
      <c r="J13" s="200"/>
      <c r="K13" s="200"/>
      <c r="L13" s="200"/>
      <c r="M13" s="237"/>
      <c r="N13" s="200"/>
      <c r="O13" s="200"/>
      <c r="P13" s="200"/>
      <c r="Q13" s="205"/>
      <c r="R13" s="205"/>
      <c r="S13" s="205"/>
      <c r="T13" s="205"/>
      <c r="U13" s="205"/>
      <c r="V13" s="205"/>
      <c r="W13" s="205"/>
      <c r="X13" s="205"/>
      <c r="Y13" s="204"/>
      <c r="Z13" s="125"/>
      <c r="AA13" s="125"/>
    </row>
    <row r="14" spans="2:27" ht="12.75" customHeight="1">
      <c r="B14" s="226"/>
      <c r="C14" s="204"/>
      <c r="D14" s="204"/>
      <c r="E14" s="228" t="s">
        <v>290</v>
      </c>
      <c r="F14" s="153" t="s">
        <v>291</v>
      </c>
      <c r="G14" s="154">
        <f>ROUND(57*A7/1000,0)</f>
        <v>35</v>
      </c>
      <c r="H14" s="137"/>
      <c r="I14" s="150"/>
      <c r="J14" s="200"/>
      <c r="K14" s="200"/>
      <c r="L14" s="200"/>
      <c r="M14" s="237"/>
      <c r="N14" s="200"/>
      <c r="O14" s="200"/>
      <c r="P14" s="200"/>
      <c r="Q14" s="203"/>
      <c r="R14" s="203"/>
      <c r="S14" s="203"/>
      <c r="T14" s="203"/>
      <c r="U14" s="203"/>
      <c r="V14" s="203"/>
      <c r="W14" s="203"/>
      <c r="X14" s="203"/>
      <c r="Y14" s="204"/>
      <c r="Z14" s="125"/>
      <c r="AA14" s="125"/>
    </row>
    <row r="15" spans="2:27" ht="12.75" customHeight="1">
      <c r="B15" s="226"/>
      <c r="C15" s="204"/>
      <c r="D15" s="204"/>
      <c r="E15" s="229"/>
      <c r="F15" s="185" t="s">
        <v>364</v>
      </c>
      <c r="G15" s="155">
        <v>2</v>
      </c>
      <c r="H15" s="138"/>
      <c r="I15" s="151"/>
      <c r="J15" s="200"/>
      <c r="K15" s="200"/>
      <c r="L15" s="200"/>
      <c r="M15" s="237"/>
      <c r="N15" s="200"/>
      <c r="O15" s="200"/>
      <c r="P15" s="200"/>
      <c r="Q15" s="204"/>
      <c r="R15" s="204"/>
      <c r="S15" s="204"/>
      <c r="T15" s="204"/>
      <c r="U15" s="204"/>
      <c r="V15" s="204"/>
      <c r="W15" s="204"/>
      <c r="X15" s="204"/>
      <c r="Y15" s="204"/>
      <c r="Z15" s="125"/>
      <c r="AA15" s="125"/>
    </row>
    <row r="16" spans="2:27" ht="12.75" customHeight="1">
      <c r="B16" s="226"/>
      <c r="C16" s="204"/>
      <c r="D16" s="204"/>
      <c r="E16" s="235"/>
      <c r="F16" s="148"/>
      <c r="G16" s="147"/>
      <c r="H16" s="139"/>
      <c r="I16" s="152"/>
      <c r="J16" s="200"/>
      <c r="K16" s="200"/>
      <c r="L16" s="200"/>
      <c r="M16" s="237"/>
      <c r="N16" s="200"/>
      <c r="O16" s="200"/>
      <c r="P16" s="200"/>
      <c r="Q16" s="205"/>
      <c r="R16" s="205"/>
      <c r="S16" s="205"/>
      <c r="T16" s="205"/>
      <c r="U16" s="205"/>
      <c r="V16" s="205"/>
      <c r="W16" s="205"/>
      <c r="X16" s="205"/>
      <c r="Y16" s="204"/>
      <c r="Z16" s="125"/>
      <c r="AA16" s="125"/>
    </row>
    <row r="17" spans="2:27" ht="12.75" customHeight="1">
      <c r="B17" s="226"/>
      <c r="C17" s="204"/>
      <c r="D17" s="204"/>
      <c r="E17" s="228" t="s">
        <v>303</v>
      </c>
      <c r="F17" s="135" t="s">
        <v>311</v>
      </c>
      <c r="G17" s="154">
        <f>ROUND(23*A7/1000,0)</f>
        <v>14</v>
      </c>
      <c r="H17" s="135" t="s">
        <v>366</v>
      </c>
      <c r="I17" s="150">
        <f>ROUND(6.5*A7/1000,0)</f>
        <v>4</v>
      </c>
      <c r="J17" s="200"/>
      <c r="K17" s="200"/>
      <c r="L17" s="200"/>
      <c r="M17" s="237"/>
      <c r="N17" s="200"/>
      <c r="O17" s="200"/>
      <c r="P17" s="200"/>
      <c r="Q17" s="203"/>
      <c r="R17" s="203"/>
      <c r="S17" s="203"/>
      <c r="T17" s="203"/>
      <c r="U17" s="203"/>
      <c r="V17" s="203"/>
      <c r="W17" s="203"/>
      <c r="X17" s="203"/>
      <c r="Y17" s="204"/>
      <c r="Z17" s="125"/>
      <c r="AA17" s="125"/>
    </row>
    <row r="18" spans="2:27" ht="12.75" customHeight="1">
      <c r="B18" s="226"/>
      <c r="C18" s="204"/>
      <c r="D18" s="204"/>
      <c r="E18" s="230"/>
      <c r="F18" s="136" t="s">
        <v>304</v>
      </c>
      <c r="G18" s="155">
        <f>ROUND(10.6*A7/1000,0)</f>
        <v>6</v>
      </c>
      <c r="H18" s="182" t="s">
        <v>345</v>
      </c>
      <c r="I18" s="183">
        <f>ROUND(9.8*A7/1000,0)</f>
        <v>6</v>
      </c>
      <c r="J18" s="201" t="s">
        <v>298</v>
      </c>
      <c r="K18" s="201" t="s">
        <v>298</v>
      </c>
      <c r="L18" s="201" t="s">
        <v>298</v>
      </c>
      <c r="M18" s="201" t="s">
        <v>298</v>
      </c>
      <c r="N18" s="201" t="s">
        <v>298</v>
      </c>
      <c r="O18" s="201" t="s">
        <v>298</v>
      </c>
      <c r="P18" s="201" t="s">
        <v>299</v>
      </c>
      <c r="Q18" s="204"/>
      <c r="R18" s="204"/>
      <c r="S18" s="204"/>
      <c r="T18" s="204"/>
      <c r="U18" s="204"/>
      <c r="V18" s="204"/>
      <c r="W18" s="204"/>
      <c r="X18" s="204"/>
      <c r="Y18" s="204"/>
      <c r="Z18" s="125"/>
      <c r="AA18" s="125"/>
    </row>
    <row r="19" spans="2:27" ht="12.75" customHeight="1">
      <c r="B19" s="227"/>
      <c r="C19" s="205"/>
      <c r="D19" s="205"/>
      <c r="E19" s="231"/>
      <c r="F19" s="139" t="s">
        <v>365</v>
      </c>
      <c r="G19" s="152">
        <f>ROUND(6.25*A7/1000,0)</f>
        <v>4</v>
      </c>
      <c r="H19" s="157"/>
      <c r="I19" s="158"/>
      <c r="J19" s="202"/>
      <c r="K19" s="202"/>
      <c r="L19" s="202"/>
      <c r="M19" s="202"/>
      <c r="N19" s="202"/>
      <c r="O19" s="202"/>
      <c r="P19" s="202"/>
      <c r="Q19" s="205"/>
      <c r="R19" s="205"/>
      <c r="S19" s="205"/>
      <c r="T19" s="205"/>
      <c r="U19" s="205"/>
      <c r="V19" s="205"/>
      <c r="W19" s="205"/>
      <c r="X19" s="205"/>
      <c r="Y19" s="205"/>
      <c r="Z19" s="125"/>
      <c r="AA19" s="125"/>
    </row>
    <row r="20" spans="2:27" ht="12.75" customHeight="1">
      <c r="B20" s="219" t="s">
        <v>276</v>
      </c>
      <c r="C20" s="220"/>
      <c r="D20" s="221"/>
      <c r="E20" s="250" t="s">
        <v>313</v>
      </c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125"/>
      <c r="AA20" s="130"/>
    </row>
    <row r="21" spans="2:27" ht="12.75" customHeight="1">
      <c r="B21" s="225">
        <v>44180</v>
      </c>
      <c r="C21" s="203" t="s">
        <v>280</v>
      </c>
      <c r="D21" s="232" t="s">
        <v>369</v>
      </c>
      <c r="E21" s="228" t="s">
        <v>358</v>
      </c>
      <c r="F21" s="144" t="s">
        <v>367</v>
      </c>
      <c r="G21" s="145">
        <f>ROUND(73.4*A7/1000,0)</f>
        <v>45</v>
      </c>
      <c r="H21" s="144"/>
      <c r="I21" s="144"/>
      <c r="J21" s="199">
        <v>5.5</v>
      </c>
      <c r="K21" s="199">
        <v>2.3</v>
      </c>
      <c r="L21" s="199">
        <v>0.8</v>
      </c>
      <c r="M21" s="236">
        <v>2</v>
      </c>
      <c r="N21" s="199">
        <v>0</v>
      </c>
      <c r="O21" s="199">
        <v>2.7</v>
      </c>
      <c r="P21" s="199">
        <f>J21*70+K21*55+M21*25+O21*45</f>
        <v>683</v>
      </c>
      <c r="Q21" s="203" t="s">
        <v>277</v>
      </c>
      <c r="R21" s="203" t="s">
        <v>277</v>
      </c>
      <c r="S21" s="203" t="s">
        <v>277</v>
      </c>
      <c r="T21" s="203" t="s">
        <v>277</v>
      </c>
      <c r="U21" s="203" t="s">
        <v>277</v>
      </c>
      <c r="V21" s="203" t="s">
        <v>277</v>
      </c>
      <c r="W21" s="203" t="s">
        <v>277</v>
      </c>
      <c r="X21" s="203" t="s">
        <v>277</v>
      </c>
      <c r="Y21" s="278" t="s">
        <v>368</v>
      </c>
      <c r="Z21" s="125"/>
      <c r="AA21" s="125"/>
    </row>
    <row r="22" spans="2:27" ht="12.75" customHeight="1">
      <c r="B22" s="226"/>
      <c r="C22" s="204"/>
      <c r="D22" s="233"/>
      <c r="E22" s="229"/>
      <c r="F22" s="146" t="s">
        <v>346</v>
      </c>
      <c r="G22" s="147">
        <f>ROUND(32.7*A7/1000,0)</f>
        <v>20</v>
      </c>
      <c r="H22" s="146"/>
      <c r="I22" s="146"/>
      <c r="J22" s="218"/>
      <c r="K22" s="218"/>
      <c r="L22" s="218"/>
      <c r="M22" s="267"/>
      <c r="N22" s="218"/>
      <c r="O22" s="218"/>
      <c r="P22" s="218"/>
      <c r="Q22" s="204"/>
      <c r="R22" s="204"/>
      <c r="S22" s="204"/>
      <c r="T22" s="204"/>
      <c r="U22" s="204"/>
      <c r="V22" s="204"/>
      <c r="W22" s="204"/>
      <c r="X22" s="204"/>
      <c r="Y22" s="279"/>
      <c r="Z22" s="125"/>
      <c r="AA22" s="125"/>
    </row>
    <row r="23" spans="2:27" ht="12.75" customHeight="1">
      <c r="B23" s="226"/>
      <c r="C23" s="204"/>
      <c r="D23" s="233"/>
      <c r="E23" s="235"/>
      <c r="F23" s="148" t="s">
        <v>361</v>
      </c>
      <c r="G23" s="149">
        <f>ROUND(9.8*A7/1000,0)</f>
        <v>6</v>
      </c>
      <c r="H23" s="148"/>
      <c r="I23" s="148"/>
      <c r="J23" s="218"/>
      <c r="K23" s="218"/>
      <c r="L23" s="218"/>
      <c r="M23" s="267"/>
      <c r="N23" s="218"/>
      <c r="O23" s="218"/>
      <c r="P23" s="218"/>
      <c r="Q23" s="205"/>
      <c r="R23" s="205"/>
      <c r="S23" s="205"/>
      <c r="T23" s="205"/>
      <c r="U23" s="205"/>
      <c r="V23" s="205"/>
      <c r="W23" s="205"/>
      <c r="X23" s="205"/>
      <c r="Y23" s="279"/>
      <c r="Z23" s="125"/>
      <c r="AA23" s="125"/>
    </row>
    <row r="24" spans="2:27" ht="12.75" customHeight="1">
      <c r="B24" s="226"/>
      <c r="C24" s="204"/>
      <c r="D24" s="233"/>
      <c r="E24" s="228" t="s">
        <v>289</v>
      </c>
      <c r="F24" s="144" t="s">
        <v>343</v>
      </c>
      <c r="G24" s="145">
        <f>ROUND(50.7*A7/1000,0)</f>
        <v>31</v>
      </c>
      <c r="H24" s="137"/>
      <c r="I24" s="159"/>
      <c r="J24" s="218"/>
      <c r="K24" s="218"/>
      <c r="L24" s="218"/>
      <c r="M24" s="267"/>
      <c r="N24" s="218"/>
      <c r="O24" s="218"/>
      <c r="P24" s="218"/>
      <c r="Q24" s="203"/>
      <c r="R24" s="203"/>
      <c r="S24" s="203"/>
      <c r="T24" s="203"/>
      <c r="U24" s="203"/>
      <c r="V24" s="203"/>
      <c r="W24" s="203"/>
      <c r="X24" s="203"/>
      <c r="Y24" s="280"/>
      <c r="Z24" s="125"/>
      <c r="AA24" s="125"/>
    </row>
    <row r="25" spans="2:29" ht="12.75" customHeight="1">
      <c r="B25" s="226"/>
      <c r="C25" s="204"/>
      <c r="D25" s="233"/>
      <c r="E25" s="229"/>
      <c r="F25" s="146" t="s">
        <v>344</v>
      </c>
      <c r="G25" s="147">
        <f>ROUND(24.5*A7/1000,0)</f>
        <v>15</v>
      </c>
      <c r="H25" s="138"/>
      <c r="I25" s="156"/>
      <c r="J25" s="218"/>
      <c r="K25" s="218"/>
      <c r="L25" s="218"/>
      <c r="M25" s="267"/>
      <c r="N25" s="218"/>
      <c r="O25" s="218"/>
      <c r="P25" s="218"/>
      <c r="Q25" s="204"/>
      <c r="R25" s="204"/>
      <c r="S25" s="204"/>
      <c r="T25" s="204"/>
      <c r="U25" s="204"/>
      <c r="V25" s="204"/>
      <c r="W25" s="204"/>
      <c r="X25" s="204"/>
      <c r="Y25" s="280"/>
      <c r="Z25" s="125"/>
      <c r="AA25" s="277"/>
      <c r="AB25" s="126"/>
      <c r="AC25" s="126"/>
    </row>
    <row r="26" spans="2:29" ht="12.75" customHeight="1">
      <c r="B26" s="226"/>
      <c r="C26" s="204"/>
      <c r="D26" s="233"/>
      <c r="E26" s="235"/>
      <c r="F26" s="148"/>
      <c r="G26" s="149"/>
      <c r="H26" s="139"/>
      <c r="I26" s="160"/>
      <c r="J26" s="218"/>
      <c r="K26" s="218"/>
      <c r="L26" s="218"/>
      <c r="M26" s="267"/>
      <c r="N26" s="218"/>
      <c r="O26" s="218"/>
      <c r="P26" s="218"/>
      <c r="Q26" s="205"/>
      <c r="R26" s="205"/>
      <c r="S26" s="205"/>
      <c r="T26" s="205"/>
      <c r="U26" s="205"/>
      <c r="V26" s="205"/>
      <c r="W26" s="205"/>
      <c r="X26" s="205"/>
      <c r="Y26" s="280"/>
      <c r="Z26" s="125"/>
      <c r="AA26" s="277"/>
      <c r="AB26" s="126"/>
      <c r="AC26" s="126"/>
    </row>
    <row r="27" spans="2:29" ht="12.75" customHeight="1">
      <c r="B27" s="226"/>
      <c r="C27" s="204"/>
      <c r="D27" s="233"/>
      <c r="E27" s="228" t="s">
        <v>290</v>
      </c>
      <c r="F27" s="153" t="s">
        <v>291</v>
      </c>
      <c r="G27" s="154">
        <f>ROUND(57*A7/1000,0)</f>
        <v>35</v>
      </c>
      <c r="H27" s="144"/>
      <c r="I27" s="144"/>
      <c r="J27" s="218"/>
      <c r="K27" s="218"/>
      <c r="L27" s="218"/>
      <c r="M27" s="267"/>
      <c r="N27" s="218"/>
      <c r="O27" s="218"/>
      <c r="P27" s="218"/>
      <c r="Q27" s="203" t="s">
        <v>277</v>
      </c>
      <c r="R27" s="203" t="s">
        <v>277</v>
      </c>
      <c r="S27" s="203" t="s">
        <v>277</v>
      </c>
      <c r="T27" s="203" t="s">
        <v>277</v>
      </c>
      <c r="U27" s="203" t="s">
        <v>277</v>
      </c>
      <c r="V27" s="203" t="s">
        <v>277</v>
      </c>
      <c r="W27" s="203" t="s">
        <v>277</v>
      </c>
      <c r="X27" s="203" t="s">
        <v>277</v>
      </c>
      <c r="Y27" s="280"/>
      <c r="Z27" s="125"/>
      <c r="AA27" s="277"/>
      <c r="AB27" s="126"/>
      <c r="AC27" s="126"/>
    </row>
    <row r="28" spans="2:27" ht="12.75" customHeight="1">
      <c r="B28" s="226"/>
      <c r="C28" s="204"/>
      <c r="D28" s="233"/>
      <c r="E28" s="229"/>
      <c r="F28" s="146" t="s">
        <v>338</v>
      </c>
      <c r="G28" s="185" t="s">
        <v>339</v>
      </c>
      <c r="H28" s="146"/>
      <c r="I28" s="146"/>
      <c r="J28" s="218"/>
      <c r="K28" s="218"/>
      <c r="L28" s="218"/>
      <c r="M28" s="267"/>
      <c r="N28" s="218"/>
      <c r="O28" s="218"/>
      <c r="P28" s="218"/>
      <c r="Q28" s="204"/>
      <c r="R28" s="204"/>
      <c r="S28" s="204"/>
      <c r="T28" s="204"/>
      <c r="U28" s="204"/>
      <c r="V28" s="204"/>
      <c r="W28" s="204"/>
      <c r="X28" s="204"/>
      <c r="Y28" s="280"/>
      <c r="Z28" s="125"/>
      <c r="AA28" s="125"/>
    </row>
    <row r="29" spans="2:27" ht="12.75" customHeight="1">
      <c r="B29" s="226"/>
      <c r="C29" s="204"/>
      <c r="D29" s="233"/>
      <c r="E29" s="235"/>
      <c r="F29" s="148"/>
      <c r="G29" s="147"/>
      <c r="H29" s="148"/>
      <c r="I29" s="148"/>
      <c r="J29" s="218"/>
      <c r="K29" s="218"/>
      <c r="L29" s="218"/>
      <c r="M29" s="267"/>
      <c r="N29" s="218"/>
      <c r="O29" s="218"/>
      <c r="P29" s="218"/>
      <c r="Q29" s="205"/>
      <c r="R29" s="205"/>
      <c r="S29" s="205"/>
      <c r="T29" s="205"/>
      <c r="U29" s="205"/>
      <c r="V29" s="205"/>
      <c r="W29" s="205"/>
      <c r="X29" s="205"/>
      <c r="Y29" s="280"/>
      <c r="Z29" s="125"/>
      <c r="AA29" s="125"/>
    </row>
    <row r="30" spans="2:27" ht="12.75" customHeight="1">
      <c r="B30" s="226"/>
      <c r="C30" s="204"/>
      <c r="D30" s="233"/>
      <c r="E30" s="228" t="s">
        <v>347</v>
      </c>
      <c r="F30" s="153" t="s">
        <v>348</v>
      </c>
      <c r="G30" s="145">
        <f>ROUND(30*A7/1000,0)</f>
        <v>18</v>
      </c>
      <c r="H30" s="192" t="s">
        <v>388</v>
      </c>
      <c r="I30" s="193">
        <f>ROUND(1*A7/1000,1)</f>
        <v>0.6</v>
      </c>
      <c r="J30" s="218"/>
      <c r="K30" s="218"/>
      <c r="L30" s="218"/>
      <c r="M30" s="267"/>
      <c r="N30" s="218"/>
      <c r="O30" s="218"/>
      <c r="P30" s="218"/>
      <c r="Q30" s="203" t="s">
        <v>277</v>
      </c>
      <c r="R30" s="203" t="s">
        <v>277</v>
      </c>
      <c r="S30" s="203" t="s">
        <v>277</v>
      </c>
      <c r="T30" s="203" t="s">
        <v>277</v>
      </c>
      <c r="U30" s="203" t="s">
        <v>277</v>
      </c>
      <c r="V30" s="203" t="s">
        <v>277</v>
      </c>
      <c r="W30" s="203" t="s">
        <v>277</v>
      </c>
      <c r="X30" s="203" t="s">
        <v>277</v>
      </c>
      <c r="Y30" s="280"/>
      <c r="Z30" s="125"/>
      <c r="AA30" s="125"/>
    </row>
    <row r="31" spans="2:27" ht="12.75" customHeight="1">
      <c r="B31" s="226"/>
      <c r="C31" s="204"/>
      <c r="D31" s="233"/>
      <c r="E31" s="229"/>
      <c r="F31" s="161" t="s">
        <v>324</v>
      </c>
      <c r="G31" s="147">
        <f>ROUND(8.6*A7/1000,0)</f>
        <v>5</v>
      </c>
      <c r="H31" s="146"/>
      <c r="I31" s="146"/>
      <c r="J31" s="201" t="s">
        <v>298</v>
      </c>
      <c r="K31" s="201" t="s">
        <v>298</v>
      </c>
      <c r="L31" s="201" t="s">
        <v>298</v>
      </c>
      <c r="M31" s="201" t="s">
        <v>298</v>
      </c>
      <c r="N31" s="201" t="s">
        <v>298</v>
      </c>
      <c r="O31" s="201" t="s">
        <v>298</v>
      </c>
      <c r="P31" s="201" t="s">
        <v>299</v>
      </c>
      <c r="Q31" s="204"/>
      <c r="R31" s="204"/>
      <c r="S31" s="204"/>
      <c r="T31" s="204"/>
      <c r="U31" s="204"/>
      <c r="V31" s="204"/>
      <c r="W31" s="204"/>
      <c r="X31" s="204"/>
      <c r="Y31" s="280"/>
      <c r="Z31" s="125"/>
      <c r="AA31" s="125"/>
    </row>
    <row r="32" spans="2:27" ht="12.75" customHeight="1">
      <c r="B32" s="227"/>
      <c r="C32" s="205"/>
      <c r="D32" s="234"/>
      <c r="E32" s="235"/>
      <c r="F32" s="148" t="s">
        <v>325</v>
      </c>
      <c r="G32" s="149">
        <f>ROUND(6*A7/1000,0)</f>
        <v>4</v>
      </c>
      <c r="H32" s="148"/>
      <c r="I32" s="148"/>
      <c r="J32" s="202"/>
      <c r="K32" s="202"/>
      <c r="L32" s="202"/>
      <c r="M32" s="202"/>
      <c r="N32" s="202"/>
      <c r="O32" s="202"/>
      <c r="P32" s="202"/>
      <c r="Q32" s="205"/>
      <c r="R32" s="205"/>
      <c r="S32" s="205"/>
      <c r="T32" s="205"/>
      <c r="U32" s="205"/>
      <c r="V32" s="205"/>
      <c r="W32" s="205"/>
      <c r="X32" s="205"/>
      <c r="Y32" s="281"/>
      <c r="Z32" s="125"/>
      <c r="AA32" s="125"/>
    </row>
    <row r="33" spans="2:27" ht="12.75" customHeight="1">
      <c r="B33" s="219" t="s">
        <v>276</v>
      </c>
      <c r="C33" s="220"/>
      <c r="D33" s="221"/>
      <c r="E33" s="215" t="s">
        <v>288</v>
      </c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7"/>
      <c r="Z33" s="125"/>
      <c r="AA33" s="125"/>
    </row>
    <row r="34" spans="2:29" ht="12.75" customHeight="1">
      <c r="B34" s="225">
        <v>44181</v>
      </c>
      <c r="C34" s="203" t="s">
        <v>314</v>
      </c>
      <c r="D34" s="203" t="s">
        <v>349</v>
      </c>
      <c r="E34" s="228" t="s">
        <v>316</v>
      </c>
      <c r="F34" s="194" t="s">
        <v>389</v>
      </c>
      <c r="G34" s="193">
        <f>ROUND(19.5*A7/1000,0)</f>
        <v>12</v>
      </c>
      <c r="H34" s="140" t="s">
        <v>365</v>
      </c>
      <c r="I34" s="151">
        <f>ROUND(6.25*A7/1000,0)</f>
        <v>4</v>
      </c>
      <c r="J34" s="199">
        <v>5.8</v>
      </c>
      <c r="K34" s="199">
        <v>0.9</v>
      </c>
      <c r="L34" s="199">
        <v>0</v>
      </c>
      <c r="M34" s="236">
        <v>1</v>
      </c>
      <c r="N34" s="199">
        <v>1</v>
      </c>
      <c r="O34" s="199">
        <v>2.5</v>
      </c>
      <c r="P34" s="199">
        <f>J34*70+K34*55+M34*25+O34*45+N34*60+L34*120</f>
        <v>653</v>
      </c>
      <c r="Q34" s="203"/>
      <c r="R34" s="203"/>
      <c r="S34" s="203"/>
      <c r="T34" s="203"/>
      <c r="U34" s="203"/>
      <c r="V34" s="203"/>
      <c r="W34" s="203"/>
      <c r="X34" s="203"/>
      <c r="Y34" s="203"/>
      <c r="Z34" s="125"/>
      <c r="AA34" s="131"/>
      <c r="AB34" s="132"/>
      <c r="AC34" s="132"/>
    </row>
    <row r="35" spans="2:29" ht="12.75" customHeight="1">
      <c r="B35" s="226"/>
      <c r="C35" s="204"/>
      <c r="D35" s="204"/>
      <c r="E35" s="229"/>
      <c r="F35" s="142" t="s">
        <v>384</v>
      </c>
      <c r="G35" s="151">
        <f>ROUND(17*A7/1000,0)</f>
        <v>10</v>
      </c>
      <c r="H35" s="140" t="s">
        <v>385</v>
      </c>
      <c r="I35" s="151" t="s">
        <v>386</v>
      </c>
      <c r="J35" s="200"/>
      <c r="K35" s="200"/>
      <c r="L35" s="200"/>
      <c r="M35" s="237"/>
      <c r="N35" s="200"/>
      <c r="O35" s="200"/>
      <c r="P35" s="200"/>
      <c r="Q35" s="204"/>
      <c r="R35" s="204"/>
      <c r="S35" s="204"/>
      <c r="T35" s="204"/>
      <c r="U35" s="204"/>
      <c r="V35" s="204"/>
      <c r="W35" s="204"/>
      <c r="X35" s="204"/>
      <c r="Y35" s="204"/>
      <c r="Z35" s="125"/>
      <c r="AA35" s="134"/>
      <c r="AB35" s="132"/>
      <c r="AC35" s="132"/>
    </row>
    <row r="36" spans="2:29" ht="12.75" customHeight="1">
      <c r="B36" s="226"/>
      <c r="C36" s="204"/>
      <c r="D36" s="204"/>
      <c r="E36" s="229"/>
      <c r="F36" s="138" t="s">
        <v>380</v>
      </c>
      <c r="G36" s="151">
        <f>ROUND(10*A7/1000,0)</f>
        <v>6</v>
      </c>
      <c r="H36" s="195" t="s">
        <v>387</v>
      </c>
      <c r="I36" s="196">
        <f>ROUND(1*A7/1000,1)</f>
        <v>0.6</v>
      </c>
      <c r="J36" s="200"/>
      <c r="K36" s="200"/>
      <c r="L36" s="200"/>
      <c r="M36" s="237"/>
      <c r="N36" s="200"/>
      <c r="O36" s="200"/>
      <c r="P36" s="200"/>
      <c r="Q36" s="204"/>
      <c r="R36" s="204"/>
      <c r="S36" s="204"/>
      <c r="T36" s="204"/>
      <c r="U36" s="204"/>
      <c r="V36" s="204"/>
      <c r="W36" s="204"/>
      <c r="X36" s="205"/>
      <c r="Y36" s="204"/>
      <c r="Z36" s="125"/>
      <c r="AA36" s="131"/>
      <c r="AB36" s="132"/>
      <c r="AC36" s="132"/>
    </row>
    <row r="37" spans="2:29" ht="12.75" customHeight="1">
      <c r="B37" s="226"/>
      <c r="C37" s="204"/>
      <c r="D37" s="204"/>
      <c r="E37" s="222" t="s">
        <v>317</v>
      </c>
      <c r="F37" s="137" t="s">
        <v>318</v>
      </c>
      <c r="G37" s="154" t="s">
        <v>376</v>
      </c>
      <c r="H37" s="140"/>
      <c r="I37" s="156"/>
      <c r="J37" s="200"/>
      <c r="K37" s="200"/>
      <c r="L37" s="200"/>
      <c r="M37" s="237"/>
      <c r="N37" s="200"/>
      <c r="O37" s="200"/>
      <c r="P37" s="200"/>
      <c r="Q37" s="203"/>
      <c r="R37" s="203"/>
      <c r="S37" s="203"/>
      <c r="T37" s="203"/>
      <c r="U37" s="203"/>
      <c r="V37" s="203"/>
      <c r="W37" s="203"/>
      <c r="X37" s="203"/>
      <c r="Y37" s="204"/>
      <c r="Z37" s="125"/>
      <c r="AA37" s="131"/>
      <c r="AB37" s="132"/>
      <c r="AC37" s="132"/>
    </row>
    <row r="38" spans="2:29" ht="12.75" customHeight="1">
      <c r="B38" s="226"/>
      <c r="C38" s="204"/>
      <c r="D38" s="204"/>
      <c r="E38" s="223"/>
      <c r="F38" s="146"/>
      <c r="G38" s="180"/>
      <c r="H38" s="140"/>
      <c r="I38" s="156"/>
      <c r="J38" s="200"/>
      <c r="K38" s="200"/>
      <c r="L38" s="200"/>
      <c r="M38" s="237"/>
      <c r="N38" s="200"/>
      <c r="O38" s="200"/>
      <c r="P38" s="200"/>
      <c r="Q38" s="204"/>
      <c r="R38" s="204"/>
      <c r="S38" s="204"/>
      <c r="T38" s="204"/>
      <c r="U38" s="204"/>
      <c r="V38" s="204"/>
      <c r="W38" s="204"/>
      <c r="X38" s="204"/>
      <c r="Y38" s="204"/>
      <c r="Z38" s="125"/>
      <c r="AA38" s="131"/>
      <c r="AB38" s="132"/>
      <c r="AC38" s="132"/>
    </row>
    <row r="39" spans="2:29" ht="12.75" customHeight="1">
      <c r="B39" s="226"/>
      <c r="C39" s="204"/>
      <c r="D39" s="204"/>
      <c r="E39" s="224"/>
      <c r="F39" s="148"/>
      <c r="G39" s="147"/>
      <c r="H39" s="140"/>
      <c r="I39" s="156"/>
      <c r="J39" s="200"/>
      <c r="K39" s="200"/>
      <c r="L39" s="200"/>
      <c r="M39" s="237"/>
      <c r="N39" s="200"/>
      <c r="O39" s="200"/>
      <c r="P39" s="200"/>
      <c r="Q39" s="205"/>
      <c r="R39" s="205"/>
      <c r="S39" s="205"/>
      <c r="T39" s="205"/>
      <c r="U39" s="205"/>
      <c r="V39" s="205"/>
      <c r="W39" s="205"/>
      <c r="X39" s="205"/>
      <c r="Y39" s="204"/>
      <c r="Z39" s="125"/>
      <c r="AA39" s="131"/>
      <c r="AB39" s="132"/>
      <c r="AC39" s="132"/>
    </row>
    <row r="40" spans="2:29" ht="12.75" customHeight="1">
      <c r="B40" s="226"/>
      <c r="C40" s="204"/>
      <c r="D40" s="204"/>
      <c r="E40" s="222" t="s">
        <v>372</v>
      </c>
      <c r="F40" s="184" t="s">
        <v>373</v>
      </c>
      <c r="G40" s="154">
        <f>ROUND(57*A7/1000,0)</f>
        <v>35</v>
      </c>
      <c r="H40" s="162"/>
      <c r="I40" s="163"/>
      <c r="J40" s="200"/>
      <c r="K40" s="200"/>
      <c r="L40" s="200"/>
      <c r="M40" s="237"/>
      <c r="N40" s="200"/>
      <c r="O40" s="200"/>
      <c r="P40" s="200"/>
      <c r="Q40" s="203"/>
      <c r="R40" s="203"/>
      <c r="S40" s="203"/>
      <c r="T40" s="203"/>
      <c r="U40" s="203"/>
      <c r="V40" s="203"/>
      <c r="W40" s="203"/>
      <c r="X40" s="203"/>
      <c r="Y40" s="204"/>
      <c r="Z40" s="125"/>
      <c r="AA40" s="198"/>
      <c r="AB40" s="131"/>
      <c r="AC40" s="131"/>
    </row>
    <row r="41" spans="2:29" ht="12.75" customHeight="1">
      <c r="B41" s="226"/>
      <c r="C41" s="204"/>
      <c r="D41" s="204"/>
      <c r="E41" s="223"/>
      <c r="F41" s="185" t="s">
        <v>364</v>
      </c>
      <c r="G41" s="185" t="s">
        <v>339</v>
      </c>
      <c r="H41" s="164"/>
      <c r="I41" s="165"/>
      <c r="J41" s="200"/>
      <c r="K41" s="200"/>
      <c r="L41" s="200"/>
      <c r="M41" s="237"/>
      <c r="N41" s="200"/>
      <c r="O41" s="200"/>
      <c r="P41" s="200"/>
      <c r="Q41" s="204"/>
      <c r="R41" s="204"/>
      <c r="S41" s="204"/>
      <c r="T41" s="204"/>
      <c r="U41" s="204"/>
      <c r="V41" s="204"/>
      <c r="W41" s="204"/>
      <c r="X41" s="204"/>
      <c r="Y41" s="204"/>
      <c r="Z41" s="125"/>
      <c r="AA41" s="198"/>
      <c r="AB41" s="131"/>
      <c r="AC41" s="131"/>
    </row>
    <row r="42" spans="2:29" ht="12.75" customHeight="1">
      <c r="B42" s="226"/>
      <c r="C42" s="204"/>
      <c r="D42" s="204"/>
      <c r="E42" s="224"/>
      <c r="F42" s="186"/>
      <c r="G42" s="177"/>
      <c r="H42" s="157"/>
      <c r="I42" s="158"/>
      <c r="J42" s="200"/>
      <c r="K42" s="200"/>
      <c r="L42" s="200"/>
      <c r="M42" s="237"/>
      <c r="N42" s="200"/>
      <c r="O42" s="200"/>
      <c r="P42" s="200"/>
      <c r="Q42" s="205"/>
      <c r="R42" s="205"/>
      <c r="S42" s="205"/>
      <c r="T42" s="205"/>
      <c r="U42" s="205"/>
      <c r="V42" s="205"/>
      <c r="W42" s="205"/>
      <c r="X42" s="205"/>
      <c r="Y42" s="204"/>
      <c r="Z42" s="125"/>
      <c r="AA42" s="198"/>
      <c r="AB42" s="131"/>
      <c r="AC42" s="131"/>
    </row>
    <row r="43" spans="2:29" ht="12.75" customHeight="1">
      <c r="B43" s="226"/>
      <c r="C43" s="204"/>
      <c r="D43" s="204"/>
      <c r="E43" s="262" t="s">
        <v>319</v>
      </c>
      <c r="F43" s="185" t="s">
        <v>374</v>
      </c>
      <c r="G43" s="187" t="s">
        <v>375</v>
      </c>
      <c r="H43" s="167"/>
      <c r="I43" s="166"/>
      <c r="J43" s="200"/>
      <c r="K43" s="200"/>
      <c r="L43" s="200"/>
      <c r="M43" s="237"/>
      <c r="N43" s="200"/>
      <c r="O43" s="200"/>
      <c r="P43" s="200"/>
      <c r="Q43" s="203"/>
      <c r="R43" s="203"/>
      <c r="S43" s="203"/>
      <c r="T43" s="203"/>
      <c r="U43" s="203"/>
      <c r="V43" s="203"/>
      <c r="W43" s="203"/>
      <c r="X43" s="203"/>
      <c r="Y43" s="204"/>
      <c r="Z43" s="125"/>
      <c r="AA43" s="131"/>
      <c r="AB43" s="132"/>
      <c r="AC43" s="132"/>
    </row>
    <row r="44" spans="2:29" ht="12.75" customHeight="1">
      <c r="B44" s="226"/>
      <c r="C44" s="204"/>
      <c r="D44" s="204"/>
      <c r="E44" s="263"/>
      <c r="F44" s="188"/>
      <c r="G44" s="187"/>
      <c r="H44" s="169"/>
      <c r="I44" s="168"/>
      <c r="J44" s="201" t="s">
        <v>320</v>
      </c>
      <c r="K44" s="201" t="s">
        <v>320</v>
      </c>
      <c r="L44" s="201" t="s">
        <v>320</v>
      </c>
      <c r="M44" s="201" t="s">
        <v>320</v>
      </c>
      <c r="N44" s="201" t="s">
        <v>320</v>
      </c>
      <c r="O44" s="201" t="s">
        <v>320</v>
      </c>
      <c r="P44" s="201" t="s">
        <v>321</v>
      </c>
      <c r="Q44" s="204"/>
      <c r="R44" s="204"/>
      <c r="S44" s="204"/>
      <c r="T44" s="204"/>
      <c r="U44" s="204"/>
      <c r="V44" s="204"/>
      <c r="W44" s="204"/>
      <c r="X44" s="204"/>
      <c r="Y44" s="204"/>
      <c r="Z44" s="125"/>
      <c r="AA44" s="131"/>
      <c r="AB44" s="132"/>
      <c r="AC44" s="132"/>
    </row>
    <row r="45" spans="2:29" ht="12.75" customHeight="1">
      <c r="B45" s="227"/>
      <c r="C45" s="205"/>
      <c r="D45" s="205"/>
      <c r="E45" s="264"/>
      <c r="F45" s="189"/>
      <c r="G45" s="189"/>
      <c r="H45" s="171"/>
      <c r="I45" s="170"/>
      <c r="J45" s="202"/>
      <c r="K45" s="202"/>
      <c r="L45" s="202"/>
      <c r="M45" s="202"/>
      <c r="N45" s="202"/>
      <c r="O45" s="202"/>
      <c r="P45" s="202"/>
      <c r="Q45" s="205"/>
      <c r="R45" s="205"/>
      <c r="S45" s="205"/>
      <c r="T45" s="205"/>
      <c r="U45" s="205"/>
      <c r="V45" s="205"/>
      <c r="W45" s="205"/>
      <c r="X45" s="205"/>
      <c r="Y45" s="205"/>
      <c r="Z45" s="125"/>
      <c r="AA45" s="131"/>
      <c r="AB45" s="132"/>
      <c r="AC45" s="132"/>
    </row>
    <row r="46" spans="2:29" ht="12.75" customHeight="1">
      <c r="B46" s="219" t="s">
        <v>276</v>
      </c>
      <c r="C46" s="220"/>
      <c r="D46" s="221"/>
      <c r="E46" s="215" t="s">
        <v>315</v>
      </c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7"/>
      <c r="Z46" s="125"/>
      <c r="AA46" s="131"/>
      <c r="AB46" s="132"/>
      <c r="AC46" s="132"/>
    </row>
    <row r="47" spans="2:29" ht="12.75" customHeight="1">
      <c r="B47" s="225">
        <v>44182</v>
      </c>
      <c r="C47" s="203" t="s">
        <v>281</v>
      </c>
      <c r="D47" s="203" t="s">
        <v>370</v>
      </c>
      <c r="E47" s="228" t="s">
        <v>305</v>
      </c>
      <c r="F47" s="137" t="s">
        <v>306</v>
      </c>
      <c r="G47" s="150">
        <f>ROUND(59*A7/1000,0)</f>
        <v>36</v>
      </c>
      <c r="H47" s="172" t="s">
        <v>365</v>
      </c>
      <c r="I47" s="150">
        <f>ROUND(3*A7/1000,0)</f>
        <v>2</v>
      </c>
      <c r="J47" s="199">
        <v>5</v>
      </c>
      <c r="K47" s="199">
        <v>2.5</v>
      </c>
      <c r="L47" s="199">
        <v>0</v>
      </c>
      <c r="M47" s="236">
        <v>1</v>
      </c>
      <c r="N47" s="199">
        <v>0</v>
      </c>
      <c r="O47" s="199">
        <v>2.5</v>
      </c>
      <c r="P47" s="199">
        <f>J47*70+K47*75+M47*25+O47*45</f>
        <v>675</v>
      </c>
      <c r="Q47" s="203"/>
      <c r="R47" s="203"/>
      <c r="S47" s="203"/>
      <c r="T47" s="203"/>
      <c r="U47" s="203"/>
      <c r="V47" s="203"/>
      <c r="W47" s="203"/>
      <c r="X47" s="203"/>
      <c r="Y47" s="238" t="s">
        <v>371</v>
      </c>
      <c r="Z47" s="125"/>
      <c r="AA47" s="131"/>
      <c r="AB47" s="132"/>
      <c r="AC47" s="132"/>
    </row>
    <row r="48" spans="2:29" ht="12.75" customHeight="1">
      <c r="B48" s="226"/>
      <c r="C48" s="204"/>
      <c r="D48" s="204"/>
      <c r="E48" s="229"/>
      <c r="F48" s="142" t="s">
        <v>286</v>
      </c>
      <c r="G48" s="151">
        <f>ROUND(26.1*A7/1000,0)</f>
        <v>16</v>
      </c>
      <c r="H48" s="140" t="s">
        <v>285</v>
      </c>
      <c r="I48" s="151" t="s">
        <v>326</v>
      </c>
      <c r="J48" s="200"/>
      <c r="K48" s="200"/>
      <c r="L48" s="200"/>
      <c r="M48" s="237"/>
      <c r="N48" s="200"/>
      <c r="O48" s="200"/>
      <c r="P48" s="200"/>
      <c r="Q48" s="204"/>
      <c r="R48" s="204"/>
      <c r="S48" s="204"/>
      <c r="T48" s="204"/>
      <c r="U48" s="204"/>
      <c r="V48" s="204"/>
      <c r="W48" s="204"/>
      <c r="X48" s="204"/>
      <c r="Y48" s="239"/>
      <c r="Z48" s="125"/>
      <c r="AA48" s="131"/>
      <c r="AB48" s="132"/>
      <c r="AC48" s="132"/>
    </row>
    <row r="49" spans="2:29" ht="12.75" customHeight="1">
      <c r="B49" s="226"/>
      <c r="C49" s="204"/>
      <c r="D49" s="204"/>
      <c r="E49" s="235"/>
      <c r="F49" s="139" t="s">
        <v>350</v>
      </c>
      <c r="G49" s="196">
        <f>ROUND(10*A7/1000,0)</f>
        <v>6</v>
      </c>
      <c r="H49" s="173"/>
      <c r="I49" s="139"/>
      <c r="J49" s="200"/>
      <c r="K49" s="200"/>
      <c r="L49" s="200"/>
      <c r="M49" s="237"/>
      <c r="N49" s="200"/>
      <c r="O49" s="200"/>
      <c r="P49" s="200"/>
      <c r="Q49" s="205"/>
      <c r="R49" s="205"/>
      <c r="S49" s="205"/>
      <c r="T49" s="205"/>
      <c r="U49" s="205"/>
      <c r="V49" s="205"/>
      <c r="W49" s="205"/>
      <c r="X49" s="205"/>
      <c r="Y49" s="239"/>
      <c r="Z49" s="125"/>
      <c r="AA49" s="131"/>
      <c r="AB49" s="132"/>
      <c r="AC49" s="132"/>
    </row>
    <row r="50" spans="2:29" ht="12.75" customHeight="1">
      <c r="B50" s="226"/>
      <c r="C50" s="204"/>
      <c r="D50" s="204"/>
      <c r="E50" s="222" t="s">
        <v>359</v>
      </c>
      <c r="F50" s="138" t="s">
        <v>351</v>
      </c>
      <c r="G50" s="151">
        <f>ROUND(63.75*A7/1000,0)</f>
        <v>39</v>
      </c>
      <c r="H50" s="140"/>
      <c r="I50" s="138"/>
      <c r="J50" s="200"/>
      <c r="K50" s="200"/>
      <c r="L50" s="200"/>
      <c r="M50" s="237"/>
      <c r="N50" s="200"/>
      <c r="O50" s="200"/>
      <c r="P50" s="200"/>
      <c r="Q50" s="203"/>
      <c r="R50" s="203"/>
      <c r="S50" s="203"/>
      <c r="T50" s="203"/>
      <c r="U50" s="203"/>
      <c r="V50" s="203"/>
      <c r="W50" s="203"/>
      <c r="X50" s="203"/>
      <c r="Y50" s="239"/>
      <c r="Z50" s="125"/>
      <c r="AA50" s="131"/>
      <c r="AB50" s="132"/>
      <c r="AC50" s="132"/>
    </row>
    <row r="51" spans="2:29" ht="12.75" customHeight="1">
      <c r="B51" s="226"/>
      <c r="C51" s="204"/>
      <c r="D51" s="204"/>
      <c r="E51" s="223"/>
      <c r="F51" s="138" t="s">
        <v>335</v>
      </c>
      <c r="G51" s="151">
        <f>ROUND(6.25*A7/1000,0)</f>
        <v>4</v>
      </c>
      <c r="H51" s="140"/>
      <c r="I51" s="138"/>
      <c r="J51" s="200"/>
      <c r="K51" s="200"/>
      <c r="L51" s="200"/>
      <c r="M51" s="237"/>
      <c r="N51" s="200"/>
      <c r="O51" s="200"/>
      <c r="P51" s="200"/>
      <c r="Q51" s="204"/>
      <c r="R51" s="204"/>
      <c r="S51" s="204"/>
      <c r="T51" s="204"/>
      <c r="U51" s="204"/>
      <c r="V51" s="204"/>
      <c r="W51" s="204"/>
      <c r="X51" s="204"/>
      <c r="Y51" s="239"/>
      <c r="Z51" s="125"/>
      <c r="AA51" s="131"/>
      <c r="AB51" s="132"/>
      <c r="AC51" s="132"/>
    </row>
    <row r="52" spans="2:29" ht="12.75" customHeight="1">
      <c r="B52" s="226"/>
      <c r="C52" s="204"/>
      <c r="D52" s="204"/>
      <c r="E52" s="224"/>
      <c r="F52" s="138"/>
      <c r="G52" s="151"/>
      <c r="H52" s="140"/>
      <c r="I52" s="138"/>
      <c r="J52" s="200"/>
      <c r="K52" s="200"/>
      <c r="L52" s="200"/>
      <c r="M52" s="237"/>
      <c r="N52" s="200"/>
      <c r="O52" s="200"/>
      <c r="P52" s="200"/>
      <c r="Q52" s="205"/>
      <c r="R52" s="205"/>
      <c r="S52" s="205"/>
      <c r="T52" s="205"/>
      <c r="U52" s="205"/>
      <c r="V52" s="205"/>
      <c r="W52" s="205"/>
      <c r="X52" s="205"/>
      <c r="Y52" s="239"/>
      <c r="Z52" s="125"/>
      <c r="AA52" s="131"/>
      <c r="AB52" s="132"/>
      <c r="AC52" s="132"/>
    </row>
    <row r="53" spans="2:29" ht="12.75" customHeight="1">
      <c r="B53" s="226"/>
      <c r="C53" s="204"/>
      <c r="D53" s="204"/>
      <c r="E53" s="228" t="s">
        <v>290</v>
      </c>
      <c r="F53" s="153" t="s">
        <v>291</v>
      </c>
      <c r="G53" s="154">
        <f>ROUND(57*A7/1000,0)</f>
        <v>35</v>
      </c>
      <c r="H53" s="159"/>
      <c r="I53" s="137"/>
      <c r="J53" s="200"/>
      <c r="K53" s="200"/>
      <c r="L53" s="200"/>
      <c r="M53" s="237"/>
      <c r="N53" s="200"/>
      <c r="O53" s="200"/>
      <c r="P53" s="200"/>
      <c r="Q53" s="203"/>
      <c r="R53" s="203"/>
      <c r="S53" s="203"/>
      <c r="T53" s="203"/>
      <c r="U53" s="203"/>
      <c r="V53" s="203"/>
      <c r="W53" s="203"/>
      <c r="X53" s="203"/>
      <c r="Y53" s="239"/>
      <c r="Z53" s="125"/>
      <c r="AA53" s="131"/>
      <c r="AB53" s="132"/>
      <c r="AC53" s="132"/>
    </row>
    <row r="54" spans="2:29" ht="12.75" customHeight="1">
      <c r="B54" s="226"/>
      <c r="C54" s="204"/>
      <c r="D54" s="204"/>
      <c r="E54" s="229"/>
      <c r="F54" s="185" t="s">
        <v>364</v>
      </c>
      <c r="G54" s="185" t="s">
        <v>339</v>
      </c>
      <c r="H54" s="140"/>
      <c r="I54" s="138"/>
      <c r="J54" s="200"/>
      <c r="K54" s="200"/>
      <c r="L54" s="200"/>
      <c r="M54" s="237"/>
      <c r="N54" s="200"/>
      <c r="O54" s="200"/>
      <c r="P54" s="200"/>
      <c r="Q54" s="204"/>
      <c r="R54" s="204"/>
      <c r="S54" s="204"/>
      <c r="T54" s="204"/>
      <c r="U54" s="204"/>
      <c r="V54" s="204"/>
      <c r="W54" s="204"/>
      <c r="X54" s="204"/>
      <c r="Y54" s="239"/>
      <c r="Z54" s="125"/>
      <c r="AA54" s="131"/>
      <c r="AB54" s="132"/>
      <c r="AC54" s="132"/>
    </row>
    <row r="55" spans="2:29" ht="12.75" customHeight="1">
      <c r="B55" s="226"/>
      <c r="C55" s="204"/>
      <c r="D55" s="204"/>
      <c r="E55" s="235"/>
      <c r="F55" s="148"/>
      <c r="G55" s="147"/>
      <c r="H55" s="140"/>
      <c r="I55" s="138"/>
      <c r="J55" s="200"/>
      <c r="K55" s="200"/>
      <c r="L55" s="200"/>
      <c r="M55" s="237"/>
      <c r="N55" s="200"/>
      <c r="O55" s="200"/>
      <c r="P55" s="200"/>
      <c r="Q55" s="205"/>
      <c r="R55" s="205"/>
      <c r="S55" s="205"/>
      <c r="T55" s="205"/>
      <c r="U55" s="205"/>
      <c r="V55" s="205"/>
      <c r="W55" s="205"/>
      <c r="X55" s="205"/>
      <c r="Y55" s="239"/>
      <c r="Z55" s="125"/>
      <c r="AA55" s="131"/>
      <c r="AB55" s="132"/>
      <c r="AC55" s="132"/>
    </row>
    <row r="56" spans="2:29" ht="12.75" customHeight="1">
      <c r="B56" s="226"/>
      <c r="C56" s="204"/>
      <c r="D56" s="204"/>
      <c r="E56" s="228" t="s">
        <v>323</v>
      </c>
      <c r="F56" s="144" t="s">
        <v>287</v>
      </c>
      <c r="G56" s="145">
        <f>ROUND(15.6*A7/1000,0)</f>
        <v>10</v>
      </c>
      <c r="H56" s="144"/>
      <c r="I56" s="144"/>
      <c r="J56" s="200"/>
      <c r="K56" s="200"/>
      <c r="L56" s="200"/>
      <c r="M56" s="237"/>
      <c r="N56" s="200"/>
      <c r="O56" s="200"/>
      <c r="P56" s="200"/>
      <c r="Q56" s="203"/>
      <c r="R56" s="203"/>
      <c r="S56" s="203"/>
      <c r="T56" s="203"/>
      <c r="U56" s="203"/>
      <c r="V56" s="203"/>
      <c r="W56" s="203"/>
      <c r="X56" s="203"/>
      <c r="Y56" s="239"/>
      <c r="Z56" s="125"/>
      <c r="AA56" s="131"/>
      <c r="AB56" s="132"/>
      <c r="AC56" s="132"/>
    </row>
    <row r="57" spans="2:29" ht="12.75" customHeight="1">
      <c r="B57" s="226"/>
      <c r="C57" s="204"/>
      <c r="D57" s="204"/>
      <c r="E57" s="229"/>
      <c r="F57" s="146" t="s">
        <v>377</v>
      </c>
      <c r="G57" s="147">
        <f>ROUND(7.8*A7/1000,1)</f>
        <v>4.8</v>
      </c>
      <c r="H57" s="146"/>
      <c r="I57" s="146"/>
      <c r="J57" s="201" t="s">
        <v>298</v>
      </c>
      <c r="K57" s="201" t="s">
        <v>298</v>
      </c>
      <c r="L57" s="201" t="s">
        <v>298</v>
      </c>
      <c r="M57" s="201" t="s">
        <v>298</v>
      </c>
      <c r="N57" s="201" t="s">
        <v>298</v>
      </c>
      <c r="O57" s="201" t="s">
        <v>298</v>
      </c>
      <c r="P57" s="201" t="s">
        <v>299</v>
      </c>
      <c r="Q57" s="204"/>
      <c r="R57" s="204"/>
      <c r="S57" s="204"/>
      <c r="T57" s="204"/>
      <c r="U57" s="204"/>
      <c r="V57" s="204"/>
      <c r="W57" s="204"/>
      <c r="X57" s="204"/>
      <c r="Y57" s="239"/>
      <c r="Z57" s="125"/>
      <c r="AA57" s="131"/>
      <c r="AB57" s="132"/>
      <c r="AC57" s="132"/>
    </row>
    <row r="58" spans="2:29" ht="12.75" customHeight="1">
      <c r="B58" s="227"/>
      <c r="C58" s="205"/>
      <c r="D58" s="205"/>
      <c r="E58" s="235"/>
      <c r="F58" s="148" t="s">
        <v>301</v>
      </c>
      <c r="G58" s="149">
        <f>ROUND(13*A7/1000,0)</f>
        <v>8</v>
      </c>
      <c r="H58" s="148"/>
      <c r="I58" s="148"/>
      <c r="J58" s="202"/>
      <c r="K58" s="202"/>
      <c r="L58" s="202"/>
      <c r="M58" s="202"/>
      <c r="N58" s="202"/>
      <c r="O58" s="202"/>
      <c r="P58" s="202"/>
      <c r="Q58" s="205"/>
      <c r="R58" s="205"/>
      <c r="S58" s="205"/>
      <c r="T58" s="205"/>
      <c r="U58" s="205"/>
      <c r="V58" s="205"/>
      <c r="W58" s="205"/>
      <c r="X58" s="205"/>
      <c r="Y58" s="240"/>
      <c r="Z58" s="125"/>
      <c r="AA58" s="131"/>
      <c r="AB58" s="132"/>
      <c r="AC58" s="132"/>
    </row>
    <row r="59" spans="2:29" ht="12.75" customHeight="1">
      <c r="B59" s="219" t="s">
        <v>278</v>
      </c>
      <c r="C59" s="220"/>
      <c r="D59" s="221"/>
      <c r="E59" s="250" t="s">
        <v>312</v>
      </c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2"/>
      <c r="Z59" s="125"/>
      <c r="AA59" s="131"/>
      <c r="AB59" s="132"/>
      <c r="AC59" s="132"/>
    </row>
    <row r="60" spans="2:29" ht="15" customHeight="1">
      <c r="B60" s="268">
        <v>44183</v>
      </c>
      <c r="C60" s="212" t="s">
        <v>327</v>
      </c>
      <c r="D60" s="212" t="s">
        <v>337</v>
      </c>
      <c r="E60" s="222" t="s">
        <v>352</v>
      </c>
      <c r="F60" s="141" t="s">
        <v>353</v>
      </c>
      <c r="G60" s="154">
        <f>ROUND(63.8*A7/1000,0)</f>
        <v>39</v>
      </c>
      <c r="H60" s="137" t="s">
        <v>356</v>
      </c>
      <c r="I60" s="150">
        <f>ROUND(1*A7/1000,1)</f>
        <v>0.6</v>
      </c>
      <c r="J60" s="199">
        <v>5</v>
      </c>
      <c r="K60" s="199">
        <v>2.5</v>
      </c>
      <c r="L60" s="199">
        <v>0</v>
      </c>
      <c r="M60" s="236">
        <v>1.5</v>
      </c>
      <c r="N60" s="199">
        <v>0</v>
      </c>
      <c r="O60" s="199">
        <v>2.5</v>
      </c>
      <c r="P60" s="199">
        <f>J60*70+K60*75+M60*25+O60*45</f>
        <v>687.5</v>
      </c>
      <c r="Q60" s="203"/>
      <c r="R60" s="203"/>
      <c r="S60" s="203"/>
      <c r="T60" s="203"/>
      <c r="U60" s="203"/>
      <c r="V60" s="203"/>
      <c r="W60" s="203"/>
      <c r="X60" s="203"/>
      <c r="Y60" s="203"/>
      <c r="Z60" s="125"/>
      <c r="AA60" s="131"/>
      <c r="AB60" s="132"/>
      <c r="AC60" s="132"/>
    </row>
    <row r="61" spans="2:29" ht="15" customHeight="1">
      <c r="B61" s="269"/>
      <c r="C61" s="213"/>
      <c r="D61" s="213"/>
      <c r="E61" s="223"/>
      <c r="F61" s="142" t="s">
        <v>354</v>
      </c>
      <c r="G61" s="176">
        <f>ROUND(32.7*A7/1000,0)</f>
        <v>20</v>
      </c>
      <c r="H61" s="138"/>
      <c r="I61" s="151"/>
      <c r="J61" s="200"/>
      <c r="K61" s="200"/>
      <c r="L61" s="200"/>
      <c r="M61" s="237"/>
      <c r="N61" s="200"/>
      <c r="O61" s="200"/>
      <c r="P61" s="200"/>
      <c r="Q61" s="204"/>
      <c r="R61" s="204"/>
      <c r="S61" s="204"/>
      <c r="T61" s="204"/>
      <c r="U61" s="204"/>
      <c r="V61" s="204"/>
      <c r="W61" s="204"/>
      <c r="X61" s="204"/>
      <c r="Y61" s="204"/>
      <c r="Z61" s="125"/>
      <c r="AA61" s="131"/>
      <c r="AB61" s="132"/>
      <c r="AC61" s="132"/>
    </row>
    <row r="62" spans="2:29" ht="12.75" customHeight="1">
      <c r="B62" s="269"/>
      <c r="C62" s="213"/>
      <c r="D62" s="213"/>
      <c r="E62" s="224"/>
      <c r="F62" s="143" t="s">
        <v>355</v>
      </c>
      <c r="G62" s="177" t="s">
        <v>378</v>
      </c>
      <c r="H62" s="157" t="s">
        <v>379</v>
      </c>
      <c r="I62" s="152"/>
      <c r="J62" s="200"/>
      <c r="K62" s="200"/>
      <c r="L62" s="200"/>
      <c r="M62" s="237"/>
      <c r="N62" s="200"/>
      <c r="O62" s="200"/>
      <c r="P62" s="200"/>
      <c r="Q62" s="205"/>
      <c r="R62" s="205"/>
      <c r="S62" s="205"/>
      <c r="T62" s="205"/>
      <c r="U62" s="205"/>
      <c r="V62" s="205"/>
      <c r="W62" s="205"/>
      <c r="X62" s="205"/>
      <c r="Y62" s="204"/>
      <c r="Z62" s="125"/>
      <c r="AA62" s="131"/>
      <c r="AB62" s="132"/>
      <c r="AC62" s="132"/>
    </row>
    <row r="63" spans="2:29" ht="12.75" customHeight="1">
      <c r="B63" s="269"/>
      <c r="C63" s="213"/>
      <c r="D63" s="213"/>
      <c r="E63" s="228" t="s">
        <v>390</v>
      </c>
      <c r="F63" s="190" t="s">
        <v>382</v>
      </c>
      <c r="G63" s="150">
        <f>ROUND(18.75*A7/1000,0)</f>
        <v>11</v>
      </c>
      <c r="H63" s="137"/>
      <c r="I63" s="159"/>
      <c r="J63" s="200"/>
      <c r="K63" s="200"/>
      <c r="L63" s="200"/>
      <c r="M63" s="237"/>
      <c r="N63" s="200"/>
      <c r="O63" s="200"/>
      <c r="P63" s="200"/>
      <c r="Q63" s="203"/>
      <c r="R63" s="203"/>
      <c r="S63" s="203"/>
      <c r="T63" s="203"/>
      <c r="U63" s="203"/>
      <c r="V63" s="203"/>
      <c r="W63" s="203"/>
      <c r="X63" s="203"/>
      <c r="Y63" s="204"/>
      <c r="Z63" s="125"/>
      <c r="AA63" s="131"/>
      <c r="AB63" s="132"/>
      <c r="AC63" s="132"/>
    </row>
    <row r="64" spans="2:29" ht="12.75" customHeight="1">
      <c r="B64" s="269"/>
      <c r="C64" s="213"/>
      <c r="D64" s="213"/>
      <c r="E64" s="229"/>
      <c r="F64" s="197" t="s">
        <v>391</v>
      </c>
      <c r="G64" s="151">
        <f>ROUND(50*A7/1000,0)</f>
        <v>31</v>
      </c>
      <c r="H64" s="138"/>
      <c r="I64" s="156"/>
      <c r="J64" s="200"/>
      <c r="K64" s="200"/>
      <c r="L64" s="200"/>
      <c r="M64" s="237"/>
      <c r="N64" s="200"/>
      <c r="O64" s="200"/>
      <c r="P64" s="200"/>
      <c r="Q64" s="204"/>
      <c r="R64" s="204"/>
      <c r="S64" s="204"/>
      <c r="T64" s="204"/>
      <c r="U64" s="204"/>
      <c r="V64" s="204"/>
      <c r="W64" s="204"/>
      <c r="X64" s="204"/>
      <c r="Y64" s="204"/>
      <c r="Z64" s="125"/>
      <c r="AA64" s="131"/>
      <c r="AB64" s="132"/>
      <c r="AC64" s="132"/>
    </row>
    <row r="65" spans="2:29" ht="12.75" customHeight="1">
      <c r="B65" s="269"/>
      <c r="C65" s="213"/>
      <c r="D65" s="213"/>
      <c r="E65" s="235"/>
      <c r="F65" s="191" t="s">
        <v>383</v>
      </c>
      <c r="G65" s="151">
        <f>ROUND(2.5*A7/1000,0)</f>
        <v>2</v>
      </c>
      <c r="H65" s="139"/>
      <c r="I65" s="160"/>
      <c r="J65" s="200"/>
      <c r="K65" s="200"/>
      <c r="L65" s="200"/>
      <c r="M65" s="237"/>
      <c r="N65" s="200"/>
      <c r="O65" s="200"/>
      <c r="P65" s="200"/>
      <c r="Q65" s="205"/>
      <c r="R65" s="205"/>
      <c r="S65" s="205"/>
      <c r="T65" s="205"/>
      <c r="U65" s="205"/>
      <c r="V65" s="205"/>
      <c r="W65" s="205"/>
      <c r="X65" s="205"/>
      <c r="Y65" s="204"/>
      <c r="Z65" s="125"/>
      <c r="AA65" s="131"/>
      <c r="AB65" s="132"/>
      <c r="AC65" s="132"/>
    </row>
    <row r="66" spans="2:29" ht="13.5" customHeight="1">
      <c r="B66" s="269"/>
      <c r="C66" s="213"/>
      <c r="D66" s="213"/>
      <c r="E66" s="228" t="s">
        <v>328</v>
      </c>
      <c r="F66" s="153" t="s">
        <v>329</v>
      </c>
      <c r="G66" s="154">
        <f>ROUND(57*A7/1000,0)</f>
        <v>35</v>
      </c>
      <c r="H66" s="144"/>
      <c r="I66" s="144"/>
      <c r="J66" s="200"/>
      <c r="K66" s="200"/>
      <c r="L66" s="200"/>
      <c r="M66" s="237"/>
      <c r="N66" s="200"/>
      <c r="O66" s="200"/>
      <c r="P66" s="200"/>
      <c r="Q66" s="203"/>
      <c r="R66" s="203"/>
      <c r="S66" s="203"/>
      <c r="T66" s="203"/>
      <c r="U66" s="203"/>
      <c r="V66" s="203"/>
      <c r="W66" s="203"/>
      <c r="X66" s="203"/>
      <c r="Y66" s="204"/>
      <c r="Z66" s="125"/>
      <c r="AA66" s="131"/>
      <c r="AB66" s="132"/>
      <c r="AC66" s="132"/>
    </row>
    <row r="67" spans="2:29" ht="12.75" customHeight="1">
      <c r="B67" s="269"/>
      <c r="C67" s="213"/>
      <c r="D67" s="213"/>
      <c r="E67" s="229"/>
      <c r="F67" s="185" t="s">
        <v>364</v>
      </c>
      <c r="G67" s="185" t="s">
        <v>339</v>
      </c>
      <c r="H67" s="146"/>
      <c r="I67" s="146"/>
      <c r="J67" s="200"/>
      <c r="K67" s="200"/>
      <c r="L67" s="200"/>
      <c r="M67" s="237"/>
      <c r="N67" s="200"/>
      <c r="O67" s="200"/>
      <c r="P67" s="200"/>
      <c r="Q67" s="204"/>
      <c r="R67" s="204"/>
      <c r="S67" s="204"/>
      <c r="T67" s="204"/>
      <c r="U67" s="204"/>
      <c r="V67" s="204"/>
      <c r="W67" s="204"/>
      <c r="X67" s="204"/>
      <c r="Y67" s="204"/>
      <c r="Z67" s="125"/>
      <c r="AA67" s="131"/>
      <c r="AB67" s="132"/>
      <c r="AC67" s="132"/>
    </row>
    <row r="68" spans="2:29" ht="12" customHeight="1">
      <c r="B68" s="269"/>
      <c r="C68" s="213"/>
      <c r="D68" s="213"/>
      <c r="E68" s="235"/>
      <c r="F68" s="148"/>
      <c r="G68" s="147"/>
      <c r="H68" s="148"/>
      <c r="I68" s="148"/>
      <c r="J68" s="200"/>
      <c r="K68" s="200"/>
      <c r="L68" s="200"/>
      <c r="M68" s="237"/>
      <c r="N68" s="200"/>
      <c r="O68" s="200"/>
      <c r="P68" s="200"/>
      <c r="Q68" s="205"/>
      <c r="R68" s="205"/>
      <c r="S68" s="205"/>
      <c r="T68" s="205"/>
      <c r="U68" s="205"/>
      <c r="V68" s="205"/>
      <c r="W68" s="205"/>
      <c r="X68" s="205"/>
      <c r="Y68" s="204"/>
      <c r="Z68" s="125"/>
      <c r="AA68" s="131"/>
      <c r="AB68" s="132"/>
      <c r="AC68" s="132"/>
    </row>
    <row r="69" spans="2:29" ht="12.75" customHeight="1">
      <c r="B69" s="269"/>
      <c r="C69" s="213"/>
      <c r="D69" s="213"/>
      <c r="E69" s="222" t="s">
        <v>330</v>
      </c>
      <c r="F69" s="153" t="s">
        <v>331</v>
      </c>
      <c r="G69" s="174">
        <f>ROUND(37.5*A7/1000,0)</f>
        <v>23</v>
      </c>
      <c r="H69" s="144"/>
      <c r="I69" s="144"/>
      <c r="J69" s="200"/>
      <c r="K69" s="200"/>
      <c r="L69" s="200"/>
      <c r="M69" s="237"/>
      <c r="N69" s="200"/>
      <c r="O69" s="200"/>
      <c r="P69" s="200"/>
      <c r="Q69" s="203"/>
      <c r="R69" s="203"/>
      <c r="S69" s="203"/>
      <c r="T69" s="203"/>
      <c r="U69" s="203"/>
      <c r="V69" s="203"/>
      <c r="W69" s="203"/>
      <c r="X69" s="203"/>
      <c r="Y69" s="204"/>
      <c r="Z69" s="125"/>
      <c r="AA69" s="131"/>
      <c r="AB69" s="132"/>
      <c r="AC69" s="132"/>
    </row>
    <row r="70" spans="2:29" ht="12" customHeight="1">
      <c r="B70" s="269"/>
      <c r="C70" s="213"/>
      <c r="D70" s="213"/>
      <c r="E70" s="223"/>
      <c r="F70" s="161" t="s">
        <v>357</v>
      </c>
      <c r="G70" s="175">
        <f>ROUND(0.7*A7/1000,1)</f>
        <v>0.4</v>
      </c>
      <c r="H70" s="146"/>
      <c r="I70" s="146"/>
      <c r="J70" s="201" t="s">
        <v>332</v>
      </c>
      <c r="K70" s="201" t="s">
        <v>298</v>
      </c>
      <c r="L70" s="201" t="s">
        <v>298</v>
      </c>
      <c r="M70" s="201" t="s">
        <v>298</v>
      </c>
      <c r="N70" s="201" t="s">
        <v>298</v>
      </c>
      <c r="O70" s="201" t="s">
        <v>298</v>
      </c>
      <c r="P70" s="201" t="s">
        <v>299</v>
      </c>
      <c r="Q70" s="204"/>
      <c r="R70" s="204"/>
      <c r="S70" s="204"/>
      <c r="T70" s="204"/>
      <c r="U70" s="204"/>
      <c r="V70" s="204"/>
      <c r="W70" s="204"/>
      <c r="X70" s="204"/>
      <c r="Y70" s="204"/>
      <c r="Z70" s="125"/>
      <c r="AA70" s="131"/>
      <c r="AB70" s="132"/>
      <c r="AC70" s="132"/>
    </row>
    <row r="71" spans="2:29" ht="13.5" customHeight="1">
      <c r="B71" s="270"/>
      <c r="C71" s="214"/>
      <c r="D71" s="214"/>
      <c r="E71" s="224"/>
      <c r="F71" s="178" t="s">
        <v>333</v>
      </c>
      <c r="G71" s="179" t="s">
        <v>381</v>
      </c>
      <c r="H71" s="148"/>
      <c r="I71" s="148"/>
      <c r="J71" s="202"/>
      <c r="K71" s="202"/>
      <c r="L71" s="202"/>
      <c r="M71" s="202"/>
      <c r="N71" s="202"/>
      <c r="O71" s="202"/>
      <c r="P71" s="202"/>
      <c r="Q71" s="205"/>
      <c r="R71" s="205"/>
      <c r="S71" s="205"/>
      <c r="T71" s="205"/>
      <c r="U71" s="205"/>
      <c r="V71" s="205"/>
      <c r="W71" s="205"/>
      <c r="X71" s="205"/>
      <c r="Y71" s="205"/>
      <c r="Z71" s="125"/>
      <c r="AA71" s="131"/>
      <c r="AB71" s="132"/>
      <c r="AC71" s="132"/>
    </row>
    <row r="72" spans="2:29" ht="15.75">
      <c r="B72" s="271" t="s">
        <v>272</v>
      </c>
      <c r="C72" s="272"/>
      <c r="D72" s="273"/>
      <c r="E72" s="274" t="s">
        <v>334</v>
      </c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6"/>
      <c r="Z72" s="125"/>
      <c r="AA72" s="133"/>
      <c r="AB72" s="132"/>
      <c r="AC72" s="132"/>
    </row>
    <row r="73" spans="2:29" ht="12.75" customHeight="1">
      <c r="B73" s="241" t="s">
        <v>273</v>
      </c>
      <c r="C73" s="242"/>
      <c r="D73" s="242"/>
      <c r="E73" s="243"/>
      <c r="F73" s="287" t="s">
        <v>392</v>
      </c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3"/>
      <c r="Z73" s="125"/>
      <c r="AA73" s="131"/>
      <c r="AB73" s="132"/>
      <c r="AC73" s="132"/>
    </row>
    <row r="74" spans="2:29" ht="12.75" customHeight="1">
      <c r="B74" s="244"/>
      <c r="C74" s="245"/>
      <c r="D74" s="245"/>
      <c r="E74" s="246"/>
      <c r="F74" s="244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6"/>
      <c r="Z74" s="125"/>
      <c r="AA74" s="131"/>
      <c r="AB74" s="132"/>
      <c r="AC74" s="132"/>
    </row>
    <row r="75" spans="2:27" ht="12.75" customHeight="1">
      <c r="B75" s="244"/>
      <c r="C75" s="245"/>
      <c r="D75" s="245"/>
      <c r="E75" s="246"/>
      <c r="F75" s="244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6"/>
      <c r="Z75" s="125"/>
      <c r="AA75" s="125"/>
    </row>
    <row r="76" spans="2:27" ht="12.75" customHeight="1" thickBot="1">
      <c r="B76" s="247"/>
      <c r="C76" s="248"/>
      <c r="D76" s="248"/>
      <c r="E76" s="249"/>
      <c r="F76" s="247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9"/>
      <c r="Z76" s="125"/>
      <c r="AA76" s="125"/>
    </row>
    <row r="77" spans="2:27" ht="14.25" customHeight="1">
      <c r="B77" s="266" t="s">
        <v>340</v>
      </c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125"/>
      <c r="AA77" s="125"/>
    </row>
    <row r="78" spans="2:27" ht="12.75" customHeight="1">
      <c r="B78" s="265" t="s">
        <v>341</v>
      </c>
      <c r="C78" s="265"/>
      <c r="D78" s="265"/>
      <c r="E78" s="265"/>
      <c r="F78" s="169"/>
      <c r="G78" s="169"/>
      <c r="H78" s="265" t="s">
        <v>322</v>
      </c>
      <c r="I78" s="265"/>
      <c r="J78" s="265"/>
      <c r="K78" s="169"/>
      <c r="L78" s="169"/>
      <c r="M78" s="169"/>
      <c r="N78" s="169"/>
      <c r="O78" s="169"/>
      <c r="P78" s="169"/>
      <c r="Q78" s="169"/>
      <c r="R78" s="169"/>
      <c r="S78" s="169"/>
      <c r="T78" s="265" t="s">
        <v>342</v>
      </c>
      <c r="U78" s="265"/>
      <c r="V78" s="181"/>
      <c r="W78" s="181"/>
      <c r="X78" s="181"/>
      <c r="Y78" s="181"/>
      <c r="Z78" s="125"/>
      <c r="AA78" s="125"/>
    </row>
    <row r="81" ht="12" customHeight="1"/>
    <row r="84" ht="10.5" customHeight="1"/>
  </sheetData>
  <sheetProtection formatCells="0" selectLockedCells="1" selectUnlockedCells="1"/>
  <protectedRanges>
    <protectedRange password="C60F" sqref="V77:Y77" name="範圍1_1_1_1_1"/>
  </protectedRanges>
  <mergeCells count="321">
    <mergeCell ref="AA25:AA27"/>
    <mergeCell ref="V24:V26"/>
    <mergeCell ref="R24:R26"/>
    <mergeCell ref="Y21:Y32"/>
    <mergeCell ref="T21:T23"/>
    <mergeCell ref="R21:R23"/>
    <mergeCell ref="U24:U26"/>
    <mergeCell ref="X21:X23"/>
    <mergeCell ref="X24:X26"/>
    <mergeCell ref="S27:S29"/>
    <mergeCell ref="P21:P30"/>
    <mergeCell ref="O21:O30"/>
    <mergeCell ref="N21:N30"/>
    <mergeCell ref="Q30:Q32"/>
    <mergeCell ref="O31:O32"/>
    <mergeCell ref="P31:P32"/>
    <mergeCell ref="Q21:Q23"/>
    <mergeCell ref="X4:X6"/>
    <mergeCell ref="Q69:Q71"/>
    <mergeCell ref="X63:X65"/>
    <mergeCell ref="X56:X58"/>
    <mergeCell ref="X53:X55"/>
    <mergeCell ref="X50:X52"/>
    <mergeCell ref="U30:U32"/>
    <mergeCell ref="T30:T32"/>
    <mergeCell ref="S30:S32"/>
    <mergeCell ref="R30:R32"/>
    <mergeCell ref="O70:O71"/>
    <mergeCell ref="E69:E71"/>
    <mergeCell ref="R69:R71"/>
    <mergeCell ref="X43:X45"/>
    <mergeCell ref="X17:X19"/>
    <mergeCell ref="X11:X13"/>
    <mergeCell ref="L31:L32"/>
    <mergeCell ref="K31:K32"/>
    <mergeCell ref="J31:J32"/>
    <mergeCell ref="K21:K30"/>
    <mergeCell ref="S66:S68"/>
    <mergeCell ref="T66:T68"/>
    <mergeCell ref="U66:U68"/>
    <mergeCell ref="B72:D72"/>
    <mergeCell ref="E72:Y72"/>
    <mergeCell ref="J70:J71"/>
    <mergeCell ref="K70:K71"/>
    <mergeCell ref="L70:L71"/>
    <mergeCell ref="M70:M71"/>
    <mergeCell ref="N70:N71"/>
    <mergeCell ref="X60:X62"/>
    <mergeCell ref="Y60:Y71"/>
    <mergeCell ref="V69:V71"/>
    <mergeCell ref="W69:W71"/>
    <mergeCell ref="X69:X71"/>
    <mergeCell ref="V66:V68"/>
    <mergeCell ref="W66:W68"/>
    <mergeCell ref="X66:X68"/>
    <mergeCell ref="V63:V65"/>
    <mergeCell ref="W63:W65"/>
    <mergeCell ref="V60:V62"/>
    <mergeCell ref="P70:P71"/>
    <mergeCell ref="P60:P69"/>
    <mergeCell ref="W60:W62"/>
    <mergeCell ref="U63:U65"/>
    <mergeCell ref="S60:S62"/>
    <mergeCell ref="R60:R62"/>
    <mergeCell ref="S69:S71"/>
    <mergeCell ref="T69:T71"/>
    <mergeCell ref="U69:U71"/>
    <mergeCell ref="B78:E78"/>
    <mergeCell ref="H78:J78"/>
    <mergeCell ref="N57:N58"/>
    <mergeCell ref="O57:O58"/>
    <mergeCell ref="E59:Y59"/>
    <mergeCell ref="W56:W58"/>
    <mergeCell ref="B60:B71"/>
    <mergeCell ref="R63:R65"/>
    <mergeCell ref="Q66:Q68"/>
    <mergeCell ref="R66:R68"/>
    <mergeCell ref="M18:M19"/>
    <mergeCell ref="N18:N19"/>
    <mergeCell ref="C60:C71"/>
    <mergeCell ref="D60:D71"/>
    <mergeCell ref="E60:E62"/>
    <mergeCell ref="J60:J69"/>
    <mergeCell ref="M60:M69"/>
    <mergeCell ref="N60:N69"/>
    <mergeCell ref="M21:M30"/>
    <mergeCell ref="N31:N32"/>
    <mergeCell ref="T78:U78"/>
    <mergeCell ref="B77:Y77"/>
    <mergeCell ref="L21:L30"/>
    <mergeCell ref="O8:O17"/>
    <mergeCell ref="O60:O69"/>
    <mergeCell ref="M31:M32"/>
    <mergeCell ref="P18:P19"/>
    <mergeCell ref="J18:J19"/>
    <mergeCell ref="K18:K19"/>
    <mergeCell ref="L18:L19"/>
    <mergeCell ref="K60:K69"/>
    <mergeCell ref="L60:L69"/>
    <mergeCell ref="E63:E65"/>
    <mergeCell ref="E66:E68"/>
    <mergeCell ref="E53:E55"/>
    <mergeCell ref="K47:K56"/>
    <mergeCell ref="W47:W49"/>
    <mergeCell ref="W50:W52"/>
    <mergeCell ref="Q50:Q52"/>
    <mergeCell ref="L57:L58"/>
    <mergeCell ref="M57:M58"/>
    <mergeCell ref="R56:R58"/>
    <mergeCell ref="S53:S55"/>
    <mergeCell ref="U56:U58"/>
    <mergeCell ref="W53:W55"/>
    <mergeCell ref="O47:O56"/>
    <mergeCell ref="X40:X42"/>
    <mergeCell ref="X47:X49"/>
    <mergeCell ref="V47:V49"/>
    <mergeCell ref="E3:P3"/>
    <mergeCell ref="F4:F7"/>
    <mergeCell ref="W40:W42"/>
    <mergeCell ref="J4:P4"/>
    <mergeCell ref="J5:J7"/>
    <mergeCell ref="W43:W45"/>
    <mergeCell ref="K5:K7"/>
    <mergeCell ref="E11:E13"/>
    <mergeCell ref="E14:E16"/>
    <mergeCell ref="L8:L17"/>
    <mergeCell ref="I4:I7"/>
    <mergeCell ref="G4:G7"/>
    <mergeCell ref="H4:H7"/>
    <mergeCell ref="J8:J17"/>
    <mergeCell ref="K8:K17"/>
    <mergeCell ref="O18:O19"/>
    <mergeCell ref="M5:M7"/>
    <mergeCell ref="N5:N7"/>
    <mergeCell ref="B3:B7"/>
    <mergeCell ref="C3:C7"/>
    <mergeCell ref="D3:D7"/>
    <mergeCell ref="E4:E7"/>
    <mergeCell ref="E8:E10"/>
    <mergeCell ref="B8:B19"/>
    <mergeCell ref="D8:D19"/>
    <mergeCell ref="O5:O7"/>
    <mergeCell ref="P5:P7"/>
    <mergeCell ref="Q14:Q16"/>
    <mergeCell ref="L5:L7"/>
    <mergeCell ref="N8:N17"/>
    <mergeCell ref="P8:P17"/>
    <mergeCell ref="M8:M17"/>
    <mergeCell ref="V4:V6"/>
    <mergeCell ref="W14:W16"/>
    <mergeCell ref="S14:S16"/>
    <mergeCell ref="W11:W13"/>
    <mergeCell ref="U11:U13"/>
    <mergeCell ref="W4:W6"/>
    <mergeCell ref="T14:T16"/>
    <mergeCell ref="T4:T6"/>
    <mergeCell ref="T11:T13"/>
    <mergeCell ref="U8:U10"/>
    <mergeCell ref="X14:X16"/>
    <mergeCell ref="W17:W19"/>
    <mergeCell ref="U14:U16"/>
    <mergeCell ref="E20:Y20"/>
    <mergeCell ref="R14:R16"/>
    <mergeCell ref="Y8:Y19"/>
    <mergeCell ref="V11:V13"/>
    <mergeCell ref="V14:V16"/>
    <mergeCell ref="S8:S10"/>
    <mergeCell ref="Q17:Q19"/>
    <mergeCell ref="V37:V39"/>
    <mergeCell ref="W37:W39"/>
    <mergeCell ref="W24:W26"/>
    <mergeCell ref="T24:T26"/>
    <mergeCell ref="V30:V32"/>
    <mergeCell ref="U17:U19"/>
    <mergeCell ref="V17:V19"/>
    <mergeCell ref="V34:V36"/>
    <mergeCell ref="U60:U62"/>
    <mergeCell ref="T40:T42"/>
    <mergeCell ref="V40:V42"/>
    <mergeCell ref="S40:S42"/>
    <mergeCell ref="U43:U45"/>
    <mergeCell ref="S43:S45"/>
    <mergeCell ref="U50:U52"/>
    <mergeCell ref="T50:T52"/>
    <mergeCell ref="T47:T49"/>
    <mergeCell ref="U40:U42"/>
    <mergeCell ref="U53:U55"/>
    <mergeCell ref="S56:S58"/>
    <mergeCell ref="V53:V55"/>
    <mergeCell ref="R47:R49"/>
    <mergeCell ref="V56:V58"/>
    <mergeCell ref="Q53:Q55"/>
    <mergeCell ref="V50:V52"/>
    <mergeCell ref="S47:S49"/>
    <mergeCell ref="S63:S65"/>
    <mergeCell ref="T63:T65"/>
    <mergeCell ref="T56:T58"/>
    <mergeCell ref="T53:T55"/>
    <mergeCell ref="S50:S52"/>
    <mergeCell ref="T60:T62"/>
    <mergeCell ref="R50:R52"/>
    <mergeCell ref="B47:B58"/>
    <mergeCell ref="C47:C58"/>
    <mergeCell ref="M47:M56"/>
    <mergeCell ref="J57:J58"/>
    <mergeCell ref="P57:P58"/>
    <mergeCell ref="D47:D58"/>
    <mergeCell ref="K57:K58"/>
    <mergeCell ref="N34:N43"/>
    <mergeCell ref="R40:R42"/>
    <mergeCell ref="B73:E76"/>
    <mergeCell ref="B59:D59"/>
    <mergeCell ref="Q40:Q42"/>
    <mergeCell ref="K34:K43"/>
    <mergeCell ref="L34:L43"/>
    <mergeCell ref="Q60:Q62"/>
    <mergeCell ref="Y47:Y58"/>
    <mergeCell ref="F73:Y76"/>
    <mergeCell ref="R53:R55"/>
    <mergeCell ref="Q47:Q49"/>
    <mergeCell ref="E50:E52"/>
    <mergeCell ref="L47:L56"/>
    <mergeCell ref="N47:N56"/>
    <mergeCell ref="Q63:Q65"/>
    <mergeCell ref="P47:P56"/>
    <mergeCell ref="U47:U49"/>
    <mergeCell ref="J47:J56"/>
    <mergeCell ref="E47:E49"/>
    <mergeCell ref="E56:E58"/>
    <mergeCell ref="P44:P45"/>
    <mergeCell ref="Q56:Q58"/>
    <mergeCell ref="M34:M43"/>
    <mergeCell ref="E43:E45"/>
    <mergeCell ref="B20:D20"/>
    <mergeCell ref="E17:E19"/>
    <mergeCell ref="B21:B32"/>
    <mergeCell ref="C21:C32"/>
    <mergeCell ref="D21:D32"/>
    <mergeCell ref="E24:E26"/>
    <mergeCell ref="C8:C19"/>
    <mergeCell ref="E30:E32"/>
    <mergeCell ref="E27:E29"/>
    <mergeCell ref="E21:E23"/>
    <mergeCell ref="B33:D33"/>
    <mergeCell ref="S37:S39"/>
    <mergeCell ref="T37:T39"/>
    <mergeCell ref="E37:E39"/>
    <mergeCell ref="E34:E36"/>
    <mergeCell ref="R37:R39"/>
    <mergeCell ref="D34:D45"/>
    <mergeCell ref="R43:R45"/>
    <mergeCell ref="B46:D46"/>
    <mergeCell ref="E40:E42"/>
    <mergeCell ref="E46:Y46"/>
    <mergeCell ref="T43:T45"/>
    <mergeCell ref="B34:B45"/>
    <mergeCell ref="C34:C45"/>
    <mergeCell ref="Q43:Q45"/>
    <mergeCell ref="X37:X39"/>
    <mergeCell ref="U34:U36"/>
    <mergeCell ref="V43:V45"/>
    <mergeCell ref="Q11:Q13"/>
    <mergeCell ref="X34:X36"/>
    <mergeCell ref="W21:W23"/>
    <mergeCell ref="V21:V23"/>
    <mergeCell ref="U21:U23"/>
    <mergeCell ref="Q24:Q26"/>
    <mergeCell ref="T34:T36"/>
    <mergeCell ref="R34:R36"/>
    <mergeCell ref="R27:R29"/>
    <mergeCell ref="Q27:Q29"/>
    <mergeCell ref="Y34:Y45"/>
    <mergeCell ref="U37:U39"/>
    <mergeCell ref="S34:S36"/>
    <mergeCell ref="S24:S26"/>
    <mergeCell ref="W30:W32"/>
    <mergeCell ref="T3:X3"/>
    <mergeCell ref="S17:S19"/>
    <mergeCell ref="T27:T29"/>
    <mergeCell ref="T17:T19"/>
    <mergeCell ref="U27:U29"/>
    <mergeCell ref="W34:W36"/>
    <mergeCell ref="V27:V29"/>
    <mergeCell ref="J21:J30"/>
    <mergeCell ref="J34:J43"/>
    <mergeCell ref="R11:R13"/>
    <mergeCell ref="Q4:Q7"/>
    <mergeCell ref="Q8:Q10"/>
    <mergeCell ref="S11:S13"/>
    <mergeCell ref="R17:R19"/>
    <mergeCell ref="R8:R10"/>
    <mergeCell ref="R4:R7"/>
    <mergeCell ref="E33:Y33"/>
    <mergeCell ref="Y3:Y7"/>
    <mergeCell ref="Q34:Q36"/>
    <mergeCell ref="V8:V10"/>
    <mergeCell ref="S4:S7"/>
    <mergeCell ref="X27:X29"/>
    <mergeCell ref="X30:X32"/>
    <mergeCell ref="S21:S23"/>
    <mergeCell ref="W27:W29"/>
    <mergeCell ref="V2:X2"/>
    <mergeCell ref="P1:V1"/>
    <mergeCell ref="E2:G2"/>
    <mergeCell ref="H2:M2"/>
    <mergeCell ref="P2:U2"/>
    <mergeCell ref="T8:T10"/>
    <mergeCell ref="X8:X10"/>
    <mergeCell ref="W8:W10"/>
    <mergeCell ref="Q3:S3"/>
    <mergeCell ref="U4:U6"/>
    <mergeCell ref="AA40:AA42"/>
    <mergeCell ref="O34:O43"/>
    <mergeCell ref="P34:P43"/>
    <mergeCell ref="J44:J45"/>
    <mergeCell ref="K44:K45"/>
    <mergeCell ref="L44:L45"/>
    <mergeCell ref="M44:M45"/>
    <mergeCell ref="N44:N45"/>
    <mergeCell ref="O44:O45"/>
    <mergeCell ref="Q37:Q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136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51">
        <f>'食物代算'!J11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51">
        <f>'食物代算'!J12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51">
        <f>'食物代算'!J13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137</v>
      </c>
      <c r="B7" s="51">
        <f>'食物代算'!J14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137</v>
      </c>
      <c r="I7" s="20">
        <v>1</v>
      </c>
      <c r="J7" s="12">
        <v>75</v>
      </c>
      <c r="K7" s="21">
        <v>1.4</v>
      </c>
      <c r="L7" s="22">
        <v>0.1</v>
      </c>
      <c r="M7" s="23" t="s">
        <v>138</v>
      </c>
    </row>
    <row r="8" spans="1:13" ht="16.5">
      <c r="A8" s="11" t="s">
        <v>13</v>
      </c>
      <c r="B8" s="51">
        <f>'食物代算'!J9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51">
        <f>'食物代算'!J152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51">
        <f>'食物代算'!J65</f>
        <v>5.466472303206997</v>
      </c>
      <c r="C10" s="12">
        <v>68</v>
      </c>
      <c r="D10" s="14">
        <f>2*B10</f>
        <v>10.932944606413994</v>
      </c>
      <c r="E10" s="14"/>
      <c r="F10" s="14">
        <f>15*B10</f>
        <v>81.99708454810495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51">
        <f>'食物代算'!J94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51">
        <f>'食物代算'!J114</f>
        <v>1.095503136319463</v>
      </c>
      <c r="C12" s="12">
        <v>73</v>
      </c>
      <c r="D12" s="14">
        <f>7*B12</f>
        <v>7.66852195423624</v>
      </c>
      <c r="E12" s="14">
        <f>5*B12</f>
        <v>5.477515681597315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51">
        <f>'食物代算'!J126</f>
        <v>0.9718172983479105</v>
      </c>
      <c r="C13" s="12">
        <v>118</v>
      </c>
      <c r="D13" s="14">
        <f>7*B13</f>
        <v>6.802721088435374</v>
      </c>
      <c r="E13" s="14">
        <f>10*B13</f>
        <v>9.718172983479105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51">
        <f>'食物代算'!J170</f>
        <v>2.623906705539359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7.25" thickBot="1">
      <c r="A15" s="59" t="s">
        <v>139</v>
      </c>
      <c r="B15" s="51">
        <f>'食物代算'!J16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140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52">
        <f>(C4*B4)+(C5*B5)+(C6*B6)+(C8*B8)+(C9*B9)+(C10*B10)+(C11*B11)+(C12*B12)+(C13*B13)+(C14*B14)+(B15*C15)+(C7*B7)</f>
        <v>722.9260535382984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90.01457725947522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141</v>
      </c>
      <c r="D18" t="s">
        <v>142</v>
      </c>
      <c r="E18" t="s">
        <v>143</v>
      </c>
      <c r="F18" t="s">
        <v>144</v>
      </c>
    </row>
    <row r="20" ht="16.5">
      <c r="A20" t="s">
        <v>145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146</v>
      </c>
      <c r="B23" s="51">
        <f>'食物代算'!K11</f>
        <v>0</v>
      </c>
      <c r="C23" s="12">
        <v>152</v>
      </c>
      <c r="D23" s="13"/>
      <c r="E23" s="14"/>
      <c r="F23" s="14"/>
    </row>
    <row r="24" spans="1:6" ht="16.5">
      <c r="A24" s="11" t="s">
        <v>11</v>
      </c>
      <c r="B24" s="51">
        <f>'食物代算'!K12</f>
        <v>0</v>
      </c>
      <c r="C24" s="12">
        <v>116</v>
      </c>
      <c r="D24" s="13"/>
      <c r="E24" s="14"/>
      <c r="F24" s="14"/>
    </row>
    <row r="25" spans="1:6" ht="16.5">
      <c r="A25" s="11" t="s">
        <v>12</v>
      </c>
      <c r="B25" s="51">
        <f>'食物代算'!K13</f>
        <v>0</v>
      </c>
      <c r="C25" s="12">
        <v>80</v>
      </c>
      <c r="D25" s="13"/>
      <c r="E25" s="14"/>
      <c r="F25" s="14"/>
    </row>
    <row r="26" spans="1:6" ht="16.5">
      <c r="A26" s="11" t="s">
        <v>137</v>
      </c>
      <c r="B26" s="51">
        <f>'食物代算'!K14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 ht="16.5">
      <c r="A27" s="11" t="s">
        <v>13</v>
      </c>
      <c r="B27" s="51">
        <f>'食物代算'!K9</f>
        <v>0.9912536443148688</v>
      </c>
      <c r="C27" s="12">
        <v>24</v>
      </c>
      <c r="D27" s="13">
        <f>1*B27</f>
        <v>0.9912536443148688</v>
      </c>
      <c r="E27" s="14"/>
      <c r="F27" s="14">
        <f>5*B27</f>
        <v>4.956268221574344</v>
      </c>
    </row>
    <row r="28" spans="1:6" ht="16.5">
      <c r="A28" s="11" t="s">
        <v>14</v>
      </c>
      <c r="B28" s="51">
        <f>'食物代算'!K152</f>
        <v>0</v>
      </c>
      <c r="C28" s="12">
        <v>60</v>
      </c>
      <c r="D28" s="13"/>
      <c r="E28" s="14"/>
      <c r="F28" s="14">
        <f>15*B28</f>
        <v>0</v>
      </c>
    </row>
    <row r="29" spans="1:6" ht="16.5">
      <c r="A29" s="24" t="s">
        <v>15</v>
      </c>
      <c r="B29" s="51">
        <f>'食物代算'!K65</f>
        <v>5.466472303206997</v>
      </c>
      <c r="C29" s="12">
        <v>68</v>
      </c>
      <c r="D29" s="14">
        <f>2*B29</f>
        <v>10.932944606413994</v>
      </c>
      <c r="E29" s="14"/>
      <c r="F29" s="14">
        <f>15*B29</f>
        <v>81.99708454810495</v>
      </c>
    </row>
    <row r="30" spans="1:6" ht="16.5">
      <c r="A30" s="24" t="s">
        <v>16</v>
      </c>
      <c r="B30" s="51">
        <f>'食物代算'!K94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 ht="16.5">
      <c r="A31" s="24" t="s">
        <v>17</v>
      </c>
      <c r="B31" s="51">
        <f>'食物代算'!K114</f>
        <v>1.4974821097270077</v>
      </c>
      <c r="C31" s="12">
        <v>73</v>
      </c>
      <c r="D31" s="14">
        <f>7*B31</f>
        <v>10.482374768089054</v>
      </c>
      <c r="E31" s="14">
        <f>5*B31</f>
        <v>7.487410548635038</v>
      </c>
      <c r="F31" s="14"/>
    </row>
    <row r="32" spans="1:6" ht="16.5">
      <c r="A32" s="24" t="s">
        <v>18</v>
      </c>
      <c r="B32" s="51">
        <f>'食物代算'!K126</f>
        <v>0.9718172983479105</v>
      </c>
      <c r="C32" s="12">
        <v>118</v>
      </c>
      <c r="D32" s="14">
        <f>7*B32</f>
        <v>6.802721088435374</v>
      </c>
      <c r="E32" s="14">
        <f>10*B32</f>
        <v>9.718172983479105</v>
      </c>
      <c r="F32" s="14"/>
    </row>
    <row r="33" spans="1:6" ht="16.5">
      <c r="A33" s="25" t="s">
        <v>19</v>
      </c>
      <c r="B33" s="51">
        <f>'食物代算'!K170</f>
        <v>2.623906705539359</v>
      </c>
      <c r="C33" s="26">
        <v>45</v>
      </c>
      <c r="D33" s="27"/>
      <c r="E33" s="27">
        <f>5*B33</f>
        <v>13.119533527696793</v>
      </c>
      <c r="F33" s="27"/>
    </row>
    <row r="34" spans="1:6" ht="16.5">
      <c r="A34" s="59" t="s">
        <v>139</v>
      </c>
      <c r="B34" s="51">
        <f>'食物代算'!K16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8.75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86.9533527696793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141</v>
      </c>
      <c r="D37" t="s">
        <v>142</v>
      </c>
      <c r="E37" t="s">
        <v>143</v>
      </c>
      <c r="F37" t="s">
        <v>144</v>
      </c>
    </row>
    <row r="39" ht="16.5">
      <c r="A39" t="s">
        <v>147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51">
        <f>'食物代算'!L11</f>
        <v>0.880709426627794</v>
      </c>
      <c r="C42" s="12">
        <v>152</v>
      </c>
      <c r="D42" s="13"/>
      <c r="E42" s="14"/>
      <c r="F42" s="14"/>
    </row>
    <row r="43" spans="1:6" ht="16.5">
      <c r="A43" s="11" t="s">
        <v>11</v>
      </c>
      <c r="B43" s="51">
        <f>'食物代算'!L12</f>
        <v>0</v>
      </c>
      <c r="C43" s="12">
        <v>116</v>
      </c>
      <c r="D43" s="13"/>
      <c r="E43" s="14"/>
      <c r="F43" s="14"/>
    </row>
    <row r="44" spans="1:6" ht="16.5">
      <c r="A44" s="11" t="s">
        <v>12</v>
      </c>
      <c r="B44" s="51">
        <f>'食物代算'!L13</f>
        <v>0</v>
      </c>
      <c r="C44" s="12">
        <v>80</v>
      </c>
      <c r="D44" s="13"/>
      <c r="E44" s="14"/>
      <c r="F44" s="14"/>
    </row>
    <row r="45" spans="1:6" ht="16.5">
      <c r="A45" s="11" t="s">
        <v>137</v>
      </c>
      <c r="B45" s="51">
        <f>'食物代算'!L14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 ht="16.5">
      <c r="A46" s="11" t="s">
        <v>13</v>
      </c>
      <c r="B46" s="51">
        <f>'食物代算'!L9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 ht="16.5">
      <c r="A47" s="11" t="s">
        <v>14</v>
      </c>
      <c r="B47" s="51">
        <f>'食物代算'!L152</f>
        <v>0</v>
      </c>
      <c r="C47" s="12">
        <v>60</v>
      </c>
      <c r="D47" s="13"/>
      <c r="E47" s="14"/>
      <c r="F47" s="14">
        <f>15*B47</f>
        <v>0</v>
      </c>
    </row>
    <row r="48" spans="1:6" ht="16.5">
      <c r="A48" s="24" t="s">
        <v>15</v>
      </c>
      <c r="B48" s="51">
        <f>'食物代算'!L65</f>
        <v>8.746355685131196</v>
      </c>
      <c r="C48" s="12">
        <v>68</v>
      </c>
      <c r="D48" s="14">
        <f>2*B48</f>
        <v>17.49271137026239</v>
      </c>
      <c r="E48" s="14"/>
      <c r="F48" s="14">
        <f>15*B48</f>
        <v>131.19533527696794</v>
      </c>
    </row>
    <row r="49" spans="1:6" ht="16.5">
      <c r="A49" s="24" t="s">
        <v>16</v>
      </c>
      <c r="B49" s="51">
        <f>'食物代算'!L94</f>
        <v>0.3748438150770513</v>
      </c>
      <c r="C49" s="12">
        <v>55</v>
      </c>
      <c r="D49" s="14">
        <f>7*B49</f>
        <v>2.623906705539359</v>
      </c>
      <c r="E49" s="14">
        <f>3*B49</f>
        <v>1.124531445231154</v>
      </c>
      <c r="F49" s="14"/>
    </row>
    <row r="50" spans="1:6" ht="16.5">
      <c r="A50" s="24" t="s">
        <v>17</v>
      </c>
      <c r="B50" s="51">
        <f>'食物代算'!L114</f>
        <v>0.43731778425655976</v>
      </c>
      <c r="C50" s="12">
        <v>73</v>
      </c>
      <c r="D50" s="14">
        <f>7*B50</f>
        <v>3.061224489795918</v>
      </c>
      <c r="E50" s="14">
        <f>5*B50</f>
        <v>2.186588921282799</v>
      </c>
      <c r="F50" s="14"/>
    </row>
    <row r="51" spans="1:6" ht="16.5">
      <c r="A51" s="24" t="s">
        <v>18</v>
      </c>
      <c r="B51" s="51">
        <f>'食物代算'!L126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 ht="16.5">
      <c r="A52" s="25" t="s">
        <v>19</v>
      </c>
      <c r="B52" s="51">
        <f>'食物代算'!L170</f>
        <v>2.623906705539359</v>
      </c>
      <c r="C52" s="26">
        <v>45</v>
      </c>
      <c r="D52" s="27"/>
      <c r="E52" s="27">
        <f>5*B52</f>
        <v>13.119533527696793</v>
      </c>
      <c r="F52" s="27"/>
    </row>
    <row r="53" spans="1:6" ht="16.5">
      <c r="A53" s="59" t="s">
        <v>139</v>
      </c>
      <c r="B53" s="51">
        <f>'食物代算'!L16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8.75">
      <c r="A54" s="15" t="s">
        <v>20</v>
      </c>
      <c r="B54" s="52">
        <f>(C42*B42)+(C43*B43)+(C44*B44)+(C46*B46)+(C47*B47)+(C48*B48)+(C49*B49)+(C50*B50)+(C51*B51)+(C52*B52)+(B53*C53)+(C45*B45)</f>
        <v>899.2364292655838</v>
      </c>
      <c r="C54" s="33"/>
      <c r="D54" s="14">
        <f>SUM(D42:D53)</f>
        <v>23.17784256559767</v>
      </c>
      <c r="E54" s="14">
        <f>SUM(E42:E53)</f>
        <v>16.430653894210746</v>
      </c>
      <c r="F54" s="14">
        <f>SUM(F42:F53)</f>
        <v>131.19533527696794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141</v>
      </c>
      <c r="D56" t="s">
        <v>142</v>
      </c>
      <c r="E56" t="s">
        <v>143</v>
      </c>
      <c r="F56" t="s">
        <v>144</v>
      </c>
    </row>
    <row r="58" ht="16.5">
      <c r="A58" t="s">
        <v>148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51">
        <f>'食物代算'!M11</f>
        <v>0</v>
      </c>
      <c r="C61" s="12">
        <v>152</v>
      </c>
      <c r="D61" s="13"/>
      <c r="E61" s="14"/>
      <c r="F61" s="14"/>
    </row>
    <row r="62" spans="1:6" ht="16.5">
      <c r="A62" s="11" t="s">
        <v>11</v>
      </c>
      <c r="B62" s="51">
        <f>'食物代算'!M12</f>
        <v>0</v>
      </c>
      <c r="C62" s="12">
        <v>116</v>
      </c>
      <c r="D62" s="13"/>
      <c r="E62" s="14"/>
      <c r="F62" s="14"/>
    </row>
    <row r="63" spans="1:6" ht="16.5">
      <c r="A63" s="11" t="s">
        <v>12</v>
      </c>
      <c r="B63" s="51">
        <f>'食物代算'!M13</f>
        <v>0</v>
      </c>
      <c r="C63" s="12">
        <v>80</v>
      </c>
      <c r="D63" s="13"/>
      <c r="E63" s="14"/>
      <c r="F63" s="14"/>
    </row>
    <row r="64" spans="1:6" ht="16.5">
      <c r="A64" s="11" t="s">
        <v>137</v>
      </c>
      <c r="B64" s="51">
        <f>'食物代算'!M14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 ht="16.5">
      <c r="A65" s="11" t="s">
        <v>13</v>
      </c>
      <c r="B65" s="51">
        <f>'食物代算'!M9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7.762390670553936</v>
      </c>
    </row>
    <row r="66" spans="1:6" ht="16.5">
      <c r="A66" s="11" t="s">
        <v>14</v>
      </c>
      <c r="B66" s="51">
        <f>'食物代算'!M152</f>
        <v>0</v>
      </c>
      <c r="C66" s="12">
        <v>60</v>
      </c>
      <c r="D66" s="13"/>
      <c r="E66" s="14"/>
      <c r="F66" s="14">
        <f>15*B66</f>
        <v>0</v>
      </c>
    </row>
    <row r="67" spans="1:6" ht="16.5">
      <c r="A67" s="24" t="s">
        <v>15</v>
      </c>
      <c r="B67" s="51">
        <f>'食物代算'!M65</f>
        <v>5.466472303206997</v>
      </c>
      <c r="C67" s="12">
        <v>68</v>
      </c>
      <c r="D67" s="14">
        <f>2*B67</f>
        <v>10.932944606413994</v>
      </c>
      <c r="E67" s="14"/>
      <c r="F67" s="14">
        <f>15*B67</f>
        <v>81.99708454810495</v>
      </c>
    </row>
    <row r="68" spans="1:6" ht="16.5">
      <c r="A68" s="24" t="s">
        <v>16</v>
      </c>
      <c r="B68" s="51">
        <f>'食物代算'!M94</f>
        <v>2.4989587671803415</v>
      </c>
      <c r="C68" s="12">
        <v>55</v>
      </c>
      <c r="D68" s="14">
        <f>7*B68</f>
        <v>17.49271137026239</v>
      </c>
      <c r="E68" s="14">
        <f>3*B68</f>
        <v>7.4968763015410245</v>
      </c>
      <c r="F68" s="14"/>
    </row>
    <row r="69" spans="1:6" ht="16.5">
      <c r="A69" s="24" t="s">
        <v>17</v>
      </c>
      <c r="B69" s="51">
        <f>'食物代算'!M114</f>
        <v>0.2915451895043732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 ht="16.5">
      <c r="A70" s="24" t="s">
        <v>18</v>
      </c>
      <c r="B70" s="51">
        <f>'食物代算'!M126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 ht="16.5">
      <c r="A71" s="25" t="s">
        <v>19</v>
      </c>
      <c r="B71" s="51">
        <f>'食物代算'!M170</f>
        <v>2.623906705539359</v>
      </c>
      <c r="C71" s="26">
        <v>45</v>
      </c>
      <c r="D71" s="27"/>
      <c r="E71" s="27">
        <f>5*B71</f>
        <v>13.119533527696793</v>
      </c>
      <c r="F71" s="27"/>
    </row>
    <row r="72" spans="1:6" ht="16.5">
      <c r="A72" s="59" t="s">
        <v>139</v>
      </c>
      <c r="B72" s="51">
        <f>'食物代算'!M16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8.75">
      <c r="A73" s="15" t="s">
        <v>20</v>
      </c>
      <c r="B73" s="52">
        <f>(C61*B61)+(C62*B62)+(C63*B63)+(C65*B65)+(C66*B66)+(C67*B67)+(C68*B68)+(C69*B69)+(C70*B70)+(C71*B71)+(B72*C72)+(C64*B64)</f>
        <v>685.7809246147439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141</v>
      </c>
      <c r="D75" t="s">
        <v>142</v>
      </c>
      <c r="E75" t="s">
        <v>143</v>
      </c>
      <c r="F75" t="s">
        <v>144</v>
      </c>
    </row>
    <row r="77" ht="16.5">
      <c r="A77" t="s">
        <v>149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51">
        <f>'食物代算'!N11</f>
        <v>0</v>
      </c>
      <c r="C80" s="12">
        <v>152</v>
      </c>
      <c r="D80" s="13"/>
      <c r="E80" s="14"/>
      <c r="F80" s="14"/>
    </row>
    <row r="81" spans="1:6" ht="16.5">
      <c r="A81" s="11" t="s">
        <v>11</v>
      </c>
      <c r="B81" s="51">
        <f>'食物代算'!N12</f>
        <v>0</v>
      </c>
      <c r="C81" s="12">
        <v>116</v>
      </c>
      <c r="D81" s="13"/>
      <c r="E81" s="14"/>
      <c r="F81" s="14"/>
    </row>
    <row r="82" spans="1:6" ht="16.5">
      <c r="A82" s="11" t="s">
        <v>12</v>
      </c>
      <c r="B82" s="51">
        <f>'食物代算'!N13</f>
        <v>0</v>
      </c>
      <c r="C82" s="12">
        <v>80</v>
      </c>
      <c r="D82" s="13"/>
      <c r="E82" s="14"/>
      <c r="F82" s="14"/>
    </row>
    <row r="83" spans="1:6" ht="16.5">
      <c r="A83" s="11" t="s">
        <v>137</v>
      </c>
      <c r="B83" s="51">
        <f>'食物代算'!N14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 ht="16.5">
      <c r="A84" s="11" t="s">
        <v>13</v>
      </c>
      <c r="B84" s="51">
        <f>'食物代算'!N9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</v>
      </c>
    </row>
    <row r="85" spans="1:6" ht="16.5">
      <c r="A85" s="11" t="s">
        <v>14</v>
      </c>
      <c r="B85" s="51">
        <f>'食物代算'!N152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 ht="16.5">
      <c r="A86" s="24" t="s">
        <v>15</v>
      </c>
      <c r="B86" s="51">
        <f>'食物代算'!N65</f>
        <v>5.466472303206997</v>
      </c>
      <c r="C86" s="12">
        <v>68</v>
      </c>
      <c r="D86" s="14">
        <f>2*B86</f>
        <v>10.932944606413994</v>
      </c>
      <c r="E86" s="14"/>
      <c r="F86" s="14">
        <f>15*B86</f>
        <v>81.99708454810495</v>
      </c>
    </row>
    <row r="87" spans="1:6" ht="16.5">
      <c r="A87" s="24" t="s">
        <v>16</v>
      </c>
      <c r="B87" s="51">
        <f>'食物代算'!N94</f>
        <v>6.247396917950853</v>
      </c>
      <c r="C87" s="12">
        <v>55</v>
      </c>
      <c r="D87" s="14">
        <f>7*B87</f>
        <v>43.731778425655975</v>
      </c>
      <c r="E87" s="14">
        <f>3*B87</f>
        <v>18.74219075385256</v>
      </c>
      <c r="F87" s="14"/>
    </row>
    <row r="88" spans="1:6" ht="16.5">
      <c r="A88" s="24" t="s">
        <v>17</v>
      </c>
      <c r="B88" s="51">
        <f>'食物代算'!N114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 ht="16.5">
      <c r="A89" s="24" t="s">
        <v>18</v>
      </c>
      <c r="B89" s="51">
        <f>'食物代算'!N126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 ht="16.5">
      <c r="A90" s="25" t="s">
        <v>19</v>
      </c>
      <c r="B90" s="51">
        <f>'食物代算'!N170</f>
        <v>2.623906705539359</v>
      </c>
      <c r="C90" s="26">
        <v>45</v>
      </c>
      <c r="D90" s="27"/>
      <c r="E90" s="27">
        <f>5*B90</f>
        <v>13.119533527696793</v>
      </c>
      <c r="F90" s="27"/>
    </row>
    <row r="91" spans="1:6" ht="16.5">
      <c r="A91" s="59" t="s">
        <v>139</v>
      </c>
      <c r="B91" s="51">
        <f>'食物代算'!N16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8.75">
      <c r="A92" s="15" t="s">
        <v>20</v>
      </c>
      <c r="B92" s="52">
        <f>(C80*B80)+(C81*B81)+(C82*B82)+(C84*B84)+(C85*B85)+(C86*B86)+(C87*B87)+(C88*B88)+(C89*B89)+(C90*B90)+(B91*C91)+(C83*B83)</f>
        <v>970.5827117488925</v>
      </c>
      <c r="C92" s="33"/>
      <c r="D92" s="14">
        <f>SUM(D80:D91)</f>
        <v>58.287834614365224</v>
      </c>
      <c r="E92" s="14">
        <f>SUM(E80:E91)</f>
        <v>33.05440914770361</v>
      </c>
      <c r="F92" s="14">
        <f>SUM(F80:F91)</f>
        <v>109.98542274052477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141</v>
      </c>
      <c r="D94" t="s">
        <v>142</v>
      </c>
      <c r="E94" t="s">
        <v>143</v>
      </c>
      <c r="F94" t="s">
        <v>144</v>
      </c>
    </row>
    <row r="97" ht="16.5">
      <c r="A97" t="s">
        <v>150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51">
        <f aca="true" t="shared" si="0" ref="B100:B111">(B4+B23+B42+B61+B80)/5</f>
        <v>0.1761418853255588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 ht="16.5">
      <c r="A103" s="11" t="s">
        <v>137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 ht="16.5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 ht="16.5">
      <c r="A105" s="11" t="s">
        <v>14</v>
      </c>
      <c r="B105" s="51">
        <f t="shared" si="0"/>
        <v>0.2429543245869777</v>
      </c>
      <c r="C105" s="12">
        <v>60</v>
      </c>
      <c r="D105" s="13"/>
      <c r="E105" s="14"/>
      <c r="F105" s="14">
        <f>15*B105</f>
        <v>3.644314868804665</v>
      </c>
    </row>
    <row r="106" spans="1:6" ht="16.5">
      <c r="A106" s="24" t="s">
        <v>15</v>
      </c>
      <c r="B106" s="51">
        <f t="shared" si="0"/>
        <v>6.122448979591837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 ht="16.5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5.713244481466056</v>
      </c>
      <c r="F107" s="14"/>
    </row>
    <row r="108" spans="1:6" ht="16.5">
      <c r="A108" s="24" t="s">
        <v>17</v>
      </c>
      <c r="B108" s="51">
        <f t="shared" si="0"/>
        <v>0.7120770386076509</v>
      </c>
      <c r="C108" s="12">
        <v>73</v>
      </c>
      <c r="D108" s="14">
        <f>7*B108</f>
        <v>4.984539270253556</v>
      </c>
      <c r="E108" s="14">
        <f>5*B108</f>
        <v>3.560385193038255</v>
      </c>
      <c r="F108" s="14"/>
    </row>
    <row r="109" spans="1:6" ht="16.5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</v>
      </c>
      <c r="F109" s="14"/>
    </row>
    <row r="110" spans="1:6" ht="16.5">
      <c r="A110" s="25" t="s">
        <v>19</v>
      </c>
      <c r="B110" s="51">
        <f t="shared" si="0"/>
        <v>2.623906705539359</v>
      </c>
      <c r="C110" s="26">
        <v>45</v>
      </c>
      <c r="D110" s="27"/>
      <c r="E110" s="27">
        <f>5*B110</f>
        <v>13.119533527696793</v>
      </c>
      <c r="F110" s="27"/>
    </row>
    <row r="111" spans="1:6" ht="16.5">
      <c r="A111" s="59" t="s">
        <v>139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8.75">
      <c r="A112" s="15" t="s">
        <v>20</v>
      </c>
      <c r="B112" s="52">
        <f>(C100*B100)+(C101*B101)+(C102*B102)+(C104*B104)+(C105*B105)+(C106*B106)+(C107*B107)+(C108*B108)+(C109*B109)+(C110*B110)+(B111*C111)+(C103*B103)</f>
        <v>807.630173033963</v>
      </c>
      <c r="C112" s="33"/>
      <c r="D112" s="14">
        <f>SUM(D100:D110)</f>
        <v>34.50154607297465</v>
      </c>
      <c r="E112" s="14">
        <f>SUM(E100:E110)</f>
        <v>26.280432395592747</v>
      </c>
      <c r="F112" s="14">
        <f>SUM(F100:F110)</f>
        <v>101.58163265306123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141</v>
      </c>
      <c r="D114" t="s">
        <v>142</v>
      </c>
      <c r="E114" t="s">
        <v>143</v>
      </c>
      <c r="F114" t="s">
        <v>144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7">
      <pane xSplit="6120" ySplit="1155" topLeftCell="A43" activePane="bottomRight" state="split"/>
      <selection pane="topLeft" activeCell="G84" sqref="G84"/>
      <selection pane="topRight" activeCell="B58" sqref="B58"/>
      <selection pane="bottomLeft" activeCell="B2" sqref="B2"/>
      <selection pane="bottomRight" activeCell="R56" sqref="R56"/>
    </sheetView>
  </sheetViews>
  <sheetFormatPr defaultColWidth="9.00390625" defaultRowHeight="16.5"/>
  <cols>
    <col min="1" max="1" width="25.625" style="0" customWidth="1"/>
    <col min="2" max="2" width="9.625" style="0" bestFit="1" customWidth="1"/>
    <col min="3" max="3" width="11.50390625" style="0" customWidth="1"/>
    <col min="4" max="8" width="12.625" style="0" customWidth="1"/>
  </cols>
  <sheetData>
    <row r="1" spans="1:9" ht="27" thickBot="1" thickTop="1">
      <c r="A1" s="100" t="s">
        <v>151</v>
      </c>
      <c r="B1" s="121">
        <v>1372</v>
      </c>
      <c r="C1" s="286" t="s">
        <v>138</v>
      </c>
      <c r="D1" s="286"/>
      <c r="E1" s="50" t="s">
        <v>138</v>
      </c>
      <c r="F1" s="99" t="s">
        <v>138</v>
      </c>
      <c r="H1" s="50" t="s">
        <v>138</v>
      </c>
      <c r="I1" s="50"/>
    </row>
    <row r="2" spans="1:7" ht="21.75" thickTop="1">
      <c r="A2" s="50" t="s">
        <v>152</v>
      </c>
      <c r="B2" s="55" t="s">
        <v>153</v>
      </c>
      <c r="C2" s="114" t="s">
        <v>154</v>
      </c>
      <c r="D2" s="113" t="s">
        <v>155</v>
      </c>
      <c r="F2" s="283" t="s">
        <v>156</v>
      </c>
      <c r="G2" s="283"/>
    </row>
    <row r="3" spans="1:7" ht="21">
      <c r="A3" s="50" t="s">
        <v>157</v>
      </c>
      <c r="B3" s="283" t="s">
        <v>158</v>
      </c>
      <c r="C3" s="283"/>
      <c r="D3" s="283" t="s">
        <v>159</v>
      </c>
      <c r="E3" s="283"/>
      <c r="F3" s="282" t="s">
        <v>160</v>
      </c>
      <c r="G3" s="282"/>
    </row>
    <row r="4" spans="1:7" ht="21">
      <c r="A4" s="50" t="s">
        <v>161</v>
      </c>
      <c r="B4" s="283" t="s">
        <v>162</v>
      </c>
      <c r="C4" s="283"/>
      <c r="D4" s="282" t="s">
        <v>163</v>
      </c>
      <c r="E4" s="282"/>
      <c r="F4" s="282" t="s">
        <v>164</v>
      </c>
      <c r="G4" s="282"/>
    </row>
    <row r="5" spans="1:5" ht="21">
      <c r="A5" s="50" t="s">
        <v>165</v>
      </c>
      <c r="B5" s="283" t="s">
        <v>166</v>
      </c>
      <c r="C5" s="283"/>
      <c r="D5" s="282" t="s">
        <v>167</v>
      </c>
      <c r="E5" s="282"/>
    </row>
    <row r="7" ht="21.75" thickBot="1">
      <c r="A7" s="100" t="s">
        <v>168</v>
      </c>
    </row>
    <row r="8" spans="1:14" ht="17.25" thickTop="1">
      <c r="A8" s="47" t="s">
        <v>22</v>
      </c>
      <c r="B8" s="48" t="s">
        <v>23</v>
      </c>
      <c r="C8" s="62" t="s">
        <v>169</v>
      </c>
      <c r="D8" s="63" t="s">
        <v>170</v>
      </c>
      <c r="E8" s="64" t="s">
        <v>171</v>
      </c>
      <c r="F8" s="64" t="s">
        <v>172</v>
      </c>
      <c r="G8" s="64" t="s">
        <v>173</v>
      </c>
      <c r="H8" s="65" t="s">
        <v>174</v>
      </c>
      <c r="I8" s="87"/>
      <c r="J8" s="102"/>
      <c r="K8" s="103"/>
      <c r="L8" s="103"/>
      <c r="M8" s="103"/>
      <c r="N8" s="104"/>
    </row>
    <row r="9" spans="1:14" ht="17.25" thickBot="1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ht="18" thickBot="1" thickTop="1">
      <c r="A10" t="s">
        <v>175</v>
      </c>
    </row>
    <row r="11" spans="1:14" ht="17.25" thickTop="1">
      <c r="A11" s="53" t="s">
        <v>146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0.880709426627794</v>
      </c>
      <c r="M11" s="103">
        <f>G11*1000/C11/$B$1</f>
        <v>0</v>
      </c>
      <c r="N11" s="104">
        <f>H11*1000/C11/$B$1</f>
        <v>0</v>
      </c>
    </row>
    <row r="12" spans="1:14" ht="16.5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 ht="16.5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7.25" thickBot="1">
      <c r="A14" s="53" t="s">
        <v>176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2.5" thickBot="1" thickTop="1">
      <c r="A15" s="101" t="s">
        <v>177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8" thickTop="1">
      <c r="A16" s="91" t="s">
        <v>178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aca="true" t="shared" si="0" ref="J16:N19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 ht="16.5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 ht="16.5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7.25" thickBot="1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ht="22.5" thickBot="1" thickTop="1">
      <c r="A20" s="100" t="s">
        <v>179</v>
      </c>
    </row>
    <row r="21" spans="1:14" ht="17.25" thickTop="1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17.25">
      <c r="A22" s="57" t="s">
        <v>180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aca="true" t="shared" si="1" ref="J22:J64">D22*1000/C22/$B$1</f>
        <v>5.466472303206997</v>
      </c>
      <c r="K22" s="109">
        <f aca="true" t="shared" si="2" ref="K22:K64">E22*1000/C22/$B$1</f>
        <v>5.466472303206997</v>
      </c>
      <c r="L22" s="109">
        <f aca="true" t="shared" si="3" ref="L22:L64">F22*1000/C22/$B$1</f>
        <v>0</v>
      </c>
      <c r="M22" s="109">
        <f aca="true" t="shared" si="4" ref="M22:M64">G22*1000/C22/$B$1</f>
        <v>5.466472303206997</v>
      </c>
      <c r="N22" s="110">
        <f aca="true" t="shared" si="5" ref="N22:N64">H22*1000/C22/$B$1</f>
        <v>5.466472303206997</v>
      </c>
    </row>
    <row r="23" spans="1:14" ht="17.25">
      <c r="A23" s="41" t="s">
        <v>26</v>
      </c>
      <c r="B23" s="40" t="s">
        <v>181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7.25">
      <c r="A24" s="41" t="s">
        <v>27</v>
      </c>
      <c r="B24" s="40" t="s">
        <v>182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7.25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7.25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7.25">
      <c r="A27" s="41" t="s">
        <v>183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7.25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17.25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7.25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7.25">
      <c r="A31" s="41" t="s">
        <v>184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7.25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7.25">
      <c r="A33" s="41" t="s">
        <v>185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7.25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7.25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7.25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7.25">
      <c r="A37" s="41" t="s">
        <v>186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7.25">
      <c r="A38" s="41" t="s">
        <v>187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7.25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8.746355685131196</v>
      </c>
      <c r="M39" s="109">
        <f t="shared" si="4"/>
        <v>0</v>
      </c>
      <c r="N39" s="110">
        <f t="shared" si="5"/>
        <v>0</v>
      </c>
    </row>
    <row r="40" spans="1:14" ht="17.25">
      <c r="A40" s="41" t="s">
        <v>109</v>
      </c>
      <c r="B40" s="40" t="s">
        <v>188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7.25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7.25">
      <c r="A42" s="41" t="s">
        <v>134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7.25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7.25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7.25">
      <c r="A45" s="41" t="s">
        <v>189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7.25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7.25">
      <c r="A47" s="41" t="s">
        <v>190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7.25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7.25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7.25">
      <c r="A50" s="41" t="s">
        <v>191</v>
      </c>
      <c r="B50" s="40" t="s">
        <v>192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7.25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7.25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7.25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7.25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7.25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7.25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7.25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7.25">
      <c r="A58" s="41" t="s">
        <v>193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7.25">
      <c r="A59" s="41" t="s">
        <v>194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7.25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7.25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7.25">
      <c r="A62" s="41" t="s">
        <v>123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7.25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7.25">
      <c r="A64" s="41" t="s">
        <v>195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7.25" thickBot="1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5.466472303206997</v>
      </c>
      <c r="K65" s="106">
        <f>SUM(K21:K64)</f>
        <v>5.466472303206997</v>
      </c>
      <c r="L65" s="106">
        <f>SUM(L21:L64)</f>
        <v>8.746355685131196</v>
      </c>
      <c r="M65" s="106">
        <f>SUM(M21:M64)</f>
        <v>5.466472303206997</v>
      </c>
      <c r="N65" s="107">
        <f>SUM(N21:N64)</f>
        <v>5.466472303206997</v>
      </c>
    </row>
    <row r="66" ht="22.5" thickBot="1" thickTop="1">
      <c r="A66" s="100" t="s">
        <v>196</v>
      </c>
    </row>
    <row r="67" spans="1:14" ht="18.75" thickBot="1" thickTop="1">
      <c r="A67" s="41" t="s">
        <v>125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8" thickTop="1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aca="true" t="shared" si="6" ref="J68:J93">D68*1000/B68/$B$1</f>
        <v>0</v>
      </c>
      <c r="K68" s="103">
        <f aca="true" t="shared" si="7" ref="K68:K93">E68*1000/B68/$B$1</f>
        <v>0</v>
      </c>
      <c r="L68" s="103">
        <f aca="true" t="shared" si="8" ref="L68:L93">F68*1000/B68/$B$1</f>
        <v>0</v>
      </c>
      <c r="M68" s="103">
        <f aca="true" t="shared" si="9" ref="M68:M93">G68*1000/B68/$B$1</f>
        <v>0</v>
      </c>
      <c r="N68" s="104">
        <f aca="true" t="shared" si="10" ref="N68:N93">H68*1000/B68/$B$1</f>
        <v>0</v>
      </c>
    </row>
    <row r="69" spans="1:14" ht="17.25">
      <c r="A69" s="41" t="s">
        <v>129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7.25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17.25">
      <c r="A71" s="41" t="s">
        <v>127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17.25">
      <c r="A72" s="41" t="s">
        <v>197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7.25">
      <c r="A73" s="41" t="s">
        <v>128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7.25">
      <c r="A74" s="112" t="s">
        <v>198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7.25">
      <c r="A75" s="41" t="s">
        <v>126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</v>
      </c>
    </row>
    <row r="76" spans="1:14" ht="16.5">
      <c r="A76" s="57" t="s">
        <v>199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0.3748438150770513</v>
      </c>
      <c r="M76" s="109">
        <f t="shared" si="9"/>
        <v>0</v>
      </c>
      <c r="N76" s="110">
        <f t="shared" si="10"/>
        <v>0</v>
      </c>
    </row>
    <row r="77" spans="1:14" ht="17.25">
      <c r="A77" s="41" t="s">
        <v>200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7.25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7.25">
      <c r="A79" s="41" t="s">
        <v>201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7.25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7.25">
      <c r="A81" s="41" t="s">
        <v>202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7.25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7.25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7.25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7.25">
      <c r="A85" s="41" t="s">
        <v>203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7.25">
      <c r="A86" s="41" t="s">
        <v>130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7.25">
      <c r="A87" s="41" t="s">
        <v>204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7.25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7.25">
      <c r="A89" s="41" t="s">
        <v>205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7.25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7.25">
      <c r="A91" s="41" t="s">
        <v>206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7.25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7.25">
      <c r="A93" s="41" t="s">
        <v>56</v>
      </c>
      <c r="B93" s="284">
        <v>240</v>
      </c>
      <c r="C93" s="285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8" thickBot="1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0.3748438150770513</v>
      </c>
      <c r="M94" s="106">
        <f>SUM(M67:M93)</f>
        <v>2.4989587671803415</v>
      </c>
      <c r="N94" s="107">
        <f>SUM(N67:N93)</f>
        <v>6.247396917950853</v>
      </c>
    </row>
    <row r="95" ht="22.5" thickBot="1" thickTop="1">
      <c r="A95" s="100" t="s">
        <v>207</v>
      </c>
    </row>
    <row r="96" spans="1:14" ht="18" thickTop="1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7.25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7.25">
      <c r="A98" s="41" t="s">
        <v>131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aca="true" t="shared" si="11" ref="J98:J113">D98*1000/B98/$B$1</f>
        <v>0</v>
      </c>
      <c r="K98" s="109">
        <f aca="true" t="shared" si="12" ref="K98:K113">E98*1000/B98/$B$1</f>
        <v>0</v>
      </c>
      <c r="L98" s="109">
        <f aca="true" t="shared" si="13" ref="L98:L113">F98*1000/B98/$B$1</f>
        <v>0</v>
      </c>
      <c r="M98" s="109">
        <f aca="true" t="shared" si="14" ref="M98:M113">G98*1000/B98/$B$1</f>
        <v>0</v>
      </c>
      <c r="N98" s="110">
        <f aca="true" t="shared" si="15" ref="N98:N113">H98*1000/B98/$B$1</f>
        <v>0</v>
      </c>
    </row>
    <row r="99" spans="1:14" ht="17.25">
      <c r="A99" s="41" t="s">
        <v>208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7.25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7.25">
      <c r="A101" s="41" t="s">
        <v>209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17.25">
      <c r="A102" s="41" t="s">
        <v>210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7.25">
      <c r="A103" s="41" t="s">
        <v>211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 ht="16.5">
      <c r="A104" s="111" t="s">
        <v>212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7.25">
      <c r="A105" s="41" t="s">
        <v>124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</v>
      </c>
      <c r="K105" s="109">
        <f t="shared" si="12"/>
        <v>0.5830903790087464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17.25">
      <c r="A106" s="112" t="s">
        <v>121</v>
      </c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7.25">
      <c r="A107" s="41" t="s">
        <v>132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17.25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0.3180492976411344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17.25">
      <c r="A109" s="41" t="s">
        <v>213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7.25">
      <c r="A110" s="41" t="s">
        <v>133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0.2915451895043732</v>
      </c>
      <c r="N110" s="110">
        <f t="shared" si="15"/>
        <v>0</v>
      </c>
    </row>
    <row r="111" spans="1:14" ht="17.25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7.25">
      <c r="A112" s="41" t="s">
        <v>214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7.25">
      <c r="A113" s="41" t="s">
        <v>215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8" thickBot="1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1.095503136319463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0.2915451895043732</v>
      </c>
      <c r="N114" s="107">
        <f>SUM(N96:N113)</f>
        <v>0.23853697323085077</v>
      </c>
    </row>
    <row r="115" ht="22.5" thickBot="1" thickTop="1">
      <c r="A115" s="100" t="s">
        <v>216</v>
      </c>
    </row>
    <row r="116" spans="1:14" ht="18" thickTop="1">
      <c r="A116" s="41" t="s">
        <v>217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7.25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7.25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aca="true" t="shared" si="16" ref="J118:J125">D118*1000/B118/$B$1</f>
        <v>0</v>
      </c>
      <c r="K118" s="109">
        <f aca="true" t="shared" si="17" ref="K118:K125">E118*1000/B118/$B$1</f>
        <v>0</v>
      </c>
      <c r="L118" s="109">
        <f aca="true" t="shared" si="18" ref="L118:L125">F118*1000/B118/$B$1</f>
        <v>0</v>
      </c>
      <c r="M118" s="109">
        <f aca="true" t="shared" si="19" ref="M118:M125">G118*1000/B118/$B$1</f>
        <v>0</v>
      </c>
      <c r="N118" s="110">
        <f aca="true" t="shared" si="20" ref="N118:N125">H118*1000/B118/$B$1</f>
        <v>0</v>
      </c>
    </row>
    <row r="119" spans="1:14" ht="17.25">
      <c r="A119" s="41" t="s">
        <v>218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17.25">
      <c r="A120" s="112" t="s">
        <v>135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7.25">
      <c r="A121" s="41" t="s">
        <v>219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7.25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</v>
      </c>
      <c r="K122" s="109">
        <f t="shared" si="17"/>
        <v>0.9718172983479105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7.25">
      <c r="A123" s="41" t="s">
        <v>220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7.25">
      <c r="A124" s="46" t="s">
        <v>221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7.25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8" thickBot="1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</v>
      </c>
      <c r="K126" s="106">
        <f>SUM(K116:K125)</f>
        <v>0.9718172983479105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ht="22.5" thickBot="1" thickTop="1">
      <c r="A127" s="100" t="s">
        <v>222</v>
      </c>
    </row>
    <row r="128" spans="1:14" ht="18" thickTop="1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7.25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7.25">
      <c r="A130" s="54" t="s">
        <v>223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aca="true" t="shared" si="21" ref="J130:J151">D130*1000/B130/$B$1</f>
        <v>0</v>
      </c>
      <c r="K130" s="109">
        <f aca="true" t="shared" si="22" ref="K130:K151">E130*1000/B130/$B$1</f>
        <v>0</v>
      </c>
      <c r="L130" s="109">
        <f aca="true" t="shared" si="23" ref="L130:L151">F130*1000/B130/$B$1</f>
        <v>0</v>
      </c>
      <c r="M130" s="109">
        <f aca="true" t="shared" si="24" ref="M130:M151">G130*1000/B130/$B$1</f>
        <v>0</v>
      </c>
      <c r="N130" s="110">
        <f aca="true" t="shared" si="25" ref="N130:N151">H130*1000/B130/$B$1</f>
        <v>0</v>
      </c>
    </row>
    <row r="131" spans="1:14" ht="17.25">
      <c r="A131" s="54" t="s">
        <v>224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7.25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7.25">
      <c r="A133" s="54" t="s">
        <v>225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7.25">
      <c r="A134" s="54" t="s">
        <v>226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7.25">
      <c r="A135" s="54" t="s">
        <v>227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17.25">
      <c r="A136" s="54" t="s">
        <v>228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7.25">
      <c r="A137" s="41" t="s">
        <v>229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7.25">
      <c r="A138" s="41" t="s">
        <v>230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7.25">
      <c r="A139" s="41" t="s">
        <v>231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7.25">
      <c r="A140" s="41" t="s">
        <v>232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7.25">
      <c r="A141" s="41" t="s">
        <v>233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7.25">
      <c r="A142" s="41" t="s">
        <v>234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7.25">
      <c r="A143" s="41" t="s">
        <v>235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7.25">
      <c r="A144" s="41" t="s">
        <v>236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7.25">
      <c r="A145" s="41" t="s">
        <v>237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7.25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7.25">
      <c r="A147" s="41" t="s">
        <v>238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7.25">
      <c r="A148" s="41" t="s">
        <v>239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7.25">
      <c r="A149" s="41" t="s">
        <v>240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7.25">
      <c r="A150" s="41" t="s">
        <v>241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7.25">
      <c r="A151" s="41" t="s">
        <v>242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7.25" thickBot="1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ht="22.5" thickBot="1" thickTop="1">
      <c r="A153" s="100" t="s">
        <v>243</v>
      </c>
    </row>
    <row r="154" spans="1:14" ht="18" thickTop="1">
      <c r="A154" s="41" t="s">
        <v>244</v>
      </c>
      <c r="B154" s="40">
        <v>5</v>
      </c>
      <c r="C154" s="72" t="s">
        <v>245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2.623906705539359</v>
      </c>
      <c r="K154" s="103">
        <f>E154*1000/B154/$B$1</f>
        <v>2.623906705539359</v>
      </c>
      <c r="L154" s="103">
        <f>F154*1000/B154/$B$1</f>
        <v>2.623906705539359</v>
      </c>
      <c r="M154" s="103">
        <f>G154*1000/B154/$B$1</f>
        <v>2.623906705539359</v>
      </c>
      <c r="N154" s="104">
        <f>H154*1000/B154/$B$1</f>
        <v>2.623906705539359</v>
      </c>
    </row>
    <row r="155" spans="1:14" ht="17.25">
      <c r="A155" s="41" t="s">
        <v>246</v>
      </c>
      <c r="B155" s="40">
        <v>5</v>
      </c>
      <c r="C155" s="72" t="s">
        <v>245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7.25">
      <c r="A156" s="41" t="s">
        <v>46</v>
      </c>
      <c r="B156" s="40">
        <v>5</v>
      </c>
      <c r="C156" s="72" t="s">
        <v>247</v>
      </c>
      <c r="D156" s="69"/>
      <c r="E156" s="38"/>
      <c r="F156" s="38"/>
      <c r="G156" s="38"/>
      <c r="H156" s="70"/>
      <c r="I156" s="87"/>
      <c r="J156" s="108">
        <f aca="true" t="shared" si="26" ref="J156:J169">D156*1000/B156/$B$1</f>
        <v>0</v>
      </c>
      <c r="K156" s="109">
        <f aca="true" t="shared" si="27" ref="K156:K169">E156*1000/B156/$B$1</f>
        <v>0</v>
      </c>
      <c r="L156" s="109">
        <f aca="true" t="shared" si="28" ref="L156:L169">F156*1000/B156/$B$1</f>
        <v>0</v>
      </c>
      <c r="M156" s="109">
        <f aca="true" t="shared" si="29" ref="M156:M169">G156*1000/B156/$B$1</f>
        <v>0</v>
      </c>
      <c r="N156" s="110">
        <f aca="true" t="shared" si="30" ref="N156:N169">H156*1000/B156/$B$1</f>
        <v>0</v>
      </c>
    </row>
    <row r="157" spans="1:14" ht="17.25">
      <c r="A157" s="41" t="s">
        <v>47</v>
      </c>
      <c r="B157" s="40">
        <v>5</v>
      </c>
      <c r="C157" s="72" t="s">
        <v>248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7.25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7.25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7.25">
      <c r="A160" s="41" t="s">
        <v>249</v>
      </c>
      <c r="B160" s="40">
        <v>10</v>
      </c>
      <c r="C160" s="72" t="s">
        <v>250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7.25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7.25">
      <c r="A162" s="41" t="s">
        <v>251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7.25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7.25">
      <c r="A164" s="41" t="s">
        <v>107</v>
      </c>
      <c r="B164" s="49">
        <v>12</v>
      </c>
      <c r="C164" s="72" t="s">
        <v>252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7.25">
      <c r="A165" s="41" t="s">
        <v>50</v>
      </c>
      <c r="B165" s="49">
        <v>14</v>
      </c>
      <c r="C165" s="72" t="s">
        <v>253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7.25">
      <c r="A166" s="41" t="s">
        <v>51</v>
      </c>
      <c r="B166" s="49">
        <v>15</v>
      </c>
      <c r="C166" s="72" t="s">
        <v>252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7.25">
      <c r="A167" s="41" t="s">
        <v>108</v>
      </c>
      <c r="B167" s="49">
        <v>20</v>
      </c>
      <c r="C167" s="72" t="s">
        <v>252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7.25">
      <c r="A168" s="41" t="s">
        <v>122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7.25">
      <c r="A169" s="41" t="s">
        <v>52</v>
      </c>
      <c r="B169" s="49">
        <v>70</v>
      </c>
      <c r="C169" s="72" t="s">
        <v>254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7.25" thickBot="1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2.623906705539359</v>
      </c>
      <c r="K170" s="106">
        <f>SUM(K154:K169)</f>
        <v>2.623906705539359</v>
      </c>
      <c r="L170" s="106">
        <f>SUM(L154:L169)</f>
        <v>2.623906705539359</v>
      </c>
      <c r="M170" s="106">
        <f>SUM(M154:M169)</f>
        <v>2.623906705539359</v>
      </c>
      <c r="N170" s="107">
        <f>SUM(N154:N169)</f>
        <v>2.623906705539359</v>
      </c>
    </row>
    <row r="171" ht="17.25" thickTop="1"/>
  </sheetData>
  <sheetProtection/>
  <mergeCells count="11">
    <mergeCell ref="D4:E4"/>
    <mergeCell ref="D5:E5"/>
    <mergeCell ref="F3:G3"/>
    <mergeCell ref="F4:G4"/>
    <mergeCell ref="F2:G2"/>
    <mergeCell ref="B93:C93"/>
    <mergeCell ref="C1:D1"/>
    <mergeCell ref="B3:C3"/>
    <mergeCell ref="B4:C4"/>
    <mergeCell ref="B5:C5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2020-11-25T03:40:35Z</cp:lastPrinted>
  <dcterms:created xsi:type="dcterms:W3CDTF">2003-11-12T02:37:56Z</dcterms:created>
  <dcterms:modified xsi:type="dcterms:W3CDTF">2020-12-04T06:18:28Z</dcterms:modified>
  <cp:category/>
  <cp:version/>
  <cp:contentType/>
  <cp:contentStatus/>
</cp:coreProperties>
</file>