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8_{E64AA229-CFEC-4302-B872-2D03ED81B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菜單" sheetId="13" r:id="rId1"/>
    <sheet name="總表" sheetId="1" r:id="rId2"/>
    <sheet name="第一周" sheetId="3" r:id="rId3"/>
    <sheet name="第二周" sheetId="4" r:id="rId4"/>
    <sheet name="第三周" sheetId="5" r:id="rId5"/>
    <sheet name="第四周" sheetId="6" r:id="rId6"/>
    <sheet name="第五周" sheetId="7" r:id="rId7"/>
    <sheet name="依據" sheetId="9" state="hidden" r:id="rId8"/>
    <sheet name="食材表" sheetId="10" state="hidden" r:id="rId9"/>
    <sheet name="工作表3" sheetId="12" state="hidden" r:id="rId10"/>
  </sheets>
  <definedNames>
    <definedName name="_xlnm.Print_Area" localSheetId="2">第一周!$A$1:$T$84</definedName>
    <definedName name="_xlnm.Print_Area" localSheetId="3">第二周!#REF!</definedName>
    <definedName name="_xlnm.Print_Area" localSheetId="4">第三周!#REF!</definedName>
    <definedName name="_xlnm.Print_Area" localSheetId="6">第五周!#REF!</definedName>
    <definedName name="_xlnm.Print_Area" localSheetId="5">第四周!#REF!</definedName>
  </definedNames>
  <calcPr calcId="191029"/>
</workbook>
</file>

<file path=xl/calcChain.xml><?xml version="1.0" encoding="utf-8"?>
<calcChain xmlns="http://schemas.openxmlformats.org/spreadsheetml/2006/main">
  <c r="X63" i="13" l="1"/>
  <c r="X62" i="13"/>
  <c r="X56" i="13"/>
  <c r="X43" i="13"/>
  <c r="J67" i="5"/>
  <c r="I67" i="5"/>
  <c r="H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F56" i="5" l="1"/>
  <c r="T30" i="13"/>
  <c r="I63" i="13"/>
  <c r="I53" i="13"/>
  <c r="T50" i="13"/>
  <c r="T49" i="13"/>
  <c r="T43" i="13"/>
  <c r="I38" i="13"/>
  <c r="I25" i="13"/>
  <c r="I14" i="13"/>
  <c r="P37" i="13"/>
  <c r="F62" i="6"/>
  <c r="F59" i="5"/>
  <c r="S56" i="5"/>
  <c r="I120" i="10" l="1"/>
  <c r="H120" i="10"/>
  <c r="G120" i="10"/>
  <c r="F120" i="10"/>
  <c r="E120" i="10"/>
  <c r="D120" i="10"/>
  <c r="C120" i="10"/>
  <c r="K352" i="9" l="1"/>
  <c r="J352" i="9"/>
  <c r="I352" i="9"/>
  <c r="H352" i="9"/>
  <c r="A352" i="9"/>
  <c r="K351" i="9"/>
  <c r="J351" i="9"/>
  <c r="I351" i="9"/>
  <c r="H351" i="9"/>
  <c r="A351" i="9"/>
  <c r="K350" i="9"/>
  <c r="J350" i="9"/>
  <c r="I350" i="9"/>
  <c r="H350" i="9"/>
  <c r="G350" i="9"/>
  <c r="A350" i="9"/>
  <c r="K265" i="9"/>
  <c r="J265" i="9"/>
  <c r="I265" i="9"/>
  <c r="H265" i="9"/>
  <c r="A265" i="9"/>
  <c r="K264" i="9"/>
  <c r="J264" i="9"/>
  <c r="I264" i="9"/>
  <c r="H264" i="9"/>
  <c r="A264" i="9"/>
  <c r="K263" i="9"/>
  <c r="J263" i="9"/>
  <c r="I263" i="9"/>
  <c r="H263" i="9"/>
  <c r="G263" i="9"/>
  <c r="A263" i="9"/>
  <c r="D110" i="9"/>
  <c r="K112" i="9"/>
  <c r="J112" i="9"/>
  <c r="I112" i="9"/>
  <c r="H112" i="9"/>
  <c r="A112" i="9"/>
  <c r="K111" i="9"/>
  <c r="J111" i="9"/>
  <c r="I111" i="9"/>
  <c r="H111" i="9"/>
  <c r="A111" i="9"/>
  <c r="K110" i="9"/>
  <c r="J110" i="9"/>
  <c r="H110" i="9"/>
  <c r="G110" i="9"/>
  <c r="A110" i="9"/>
  <c r="K67" i="9"/>
  <c r="J67" i="9"/>
  <c r="I67" i="9"/>
  <c r="H67" i="9"/>
  <c r="A67" i="9"/>
  <c r="K66" i="9"/>
  <c r="J66" i="9"/>
  <c r="I66" i="9"/>
  <c r="H66" i="9"/>
  <c r="A66" i="9"/>
  <c r="K65" i="9"/>
  <c r="J65" i="9"/>
  <c r="H65" i="9"/>
  <c r="G65" i="9"/>
  <c r="D65" i="9"/>
  <c r="I65" i="9" s="1"/>
  <c r="A65" i="9"/>
  <c r="K55" i="9"/>
  <c r="J55" i="9"/>
  <c r="I55" i="9"/>
  <c r="H55" i="9"/>
  <c r="A55" i="9"/>
  <c r="K54" i="9"/>
  <c r="J54" i="9"/>
  <c r="I54" i="9"/>
  <c r="H54" i="9"/>
  <c r="A54" i="9"/>
  <c r="K53" i="9"/>
  <c r="J53" i="9"/>
  <c r="H53" i="9"/>
  <c r="G53" i="9"/>
  <c r="D53" i="9"/>
  <c r="I53" i="9" s="1"/>
  <c r="A53" i="9"/>
  <c r="L30" i="13"/>
  <c r="R53" i="9" l="1"/>
  <c r="I110" i="9"/>
  <c r="Q65" i="9"/>
  <c r="O65" i="9"/>
  <c r="M65" i="9"/>
  <c r="R65" i="9"/>
  <c r="P65" i="9"/>
  <c r="N65" i="9"/>
  <c r="L65" i="9"/>
  <c r="M53" i="9"/>
  <c r="O53" i="9"/>
  <c r="Q53" i="9"/>
  <c r="L53" i="9"/>
  <c r="N53" i="9"/>
  <c r="P53" i="9"/>
  <c r="K151" i="9"/>
  <c r="J151" i="9"/>
  <c r="I151" i="9"/>
  <c r="H151" i="9"/>
  <c r="A151" i="9"/>
  <c r="K150" i="9"/>
  <c r="J150" i="9"/>
  <c r="H150" i="9"/>
  <c r="I150" i="9" s="1"/>
  <c r="A150" i="9"/>
  <c r="K149" i="9"/>
  <c r="J149" i="9"/>
  <c r="H149" i="9"/>
  <c r="G149" i="9"/>
  <c r="D149" i="9"/>
  <c r="I149" i="9" s="1"/>
  <c r="A149" i="9"/>
  <c r="S65" i="9" l="1"/>
  <c r="S53" i="9"/>
  <c r="Q149" i="9"/>
  <c r="O149" i="9"/>
  <c r="M149" i="9"/>
  <c r="R149" i="9"/>
  <c r="P149" i="9"/>
  <c r="N149" i="9"/>
  <c r="L149" i="9"/>
  <c r="S149" i="9" l="1"/>
  <c r="K295" i="9" l="1"/>
  <c r="J295" i="9"/>
  <c r="I295" i="9"/>
  <c r="H295" i="9"/>
  <c r="A295" i="9"/>
  <c r="K294" i="9"/>
  <c r="J294" i="9"/>
  <c r="I294" i="9"/>
  <c r="H294" i="9"/>
  <c r="A294" i="9"/>
  <c r="J293" i="9"/>
  <c r="K293" i="9" s="1"/>
  <c r="I293" i="9"/>
  <c r="H293" i="9"/>
  <c r="G293" i="9"/>
  <c r="A293" i="9"/>
  <c r="K100" i="9"/>
  <c r="J100" i="9"/>
  <c r="I100" i="9"/>
  <c r="H100" i="9"/>
  <c r="A100" i="9"/>
  <c r="K99" i="9"/>
  <c r="J99" i="9"/>
  <c r="I99" i="9"/>
  <c r="H99" i="9"/>
  <c r="A99" i="9"/>
  <c r="K98" i="9"/>
  <c r="J98" i="9"/>
  <c r="H98" i="9"/>
  <c r="G98" i="9"/>
  <c r="D98" i="9"/>
  <c r="I98" i="9" s="1"/>
  <c r="A98" i="9"/>
  <c r="D44" i="9"/>
  <c r="K46" i="9"/>
  <c r="J46" i="9"/>
  <c r="I46" i="9"/>
  <c r="H46" i="9"/>
  <c r="A46" i="9"/>
  <c r="K45" i="9"/>
  <c r="J45" i="9"/>
  <c r="I45" i="9"/>
  <c r="H45" i="9"/>
  <c r="A45" i="9"/>
  <c r="K44" i="9"/>
  <c r="J44" i="9"/>
  <c r="H44" i="9"/>
  <c r="G44" i="9"/>
  <c r="A44" i="9"/>
  <c r="K130" i="9"/>
  <c r="J130" i="9"/>
  <c r="I130" i="9"/>
  <c r="H130" i="9"/>
  <c r="A130" i="9"/>
  <c r="K129" i="9"/>
  <c r="J129" i="9"/>
  <c r="H129" i="9"/>
  <c r="I129" i="9" s="1"/>
  <c r="A129" i="9"/>
  <c r="K128" i="9"/>
  <c r="J128" i="9"/>
  <c r="H128" i="9"/>
  <c r="G128" i="9"/>
  <c r="D128" i="9"/>
  <c r="I128" i="9" s="1"/>
  <c r="A128" i="9"/>
  <c r="K571" i="9"/>
  <c r="J571" i="9"/>
  <c r="I571" i="9"/>
  <c r="H571" i="9"/>
  <c r="A571" i="9"/>
  <c r="K570" i="9"/>
  <c r="J570" i="9"/>
  <c r="I570" i="9"/>
  <c r="H570" i="9"/>
  <c r="A570" i="9"/>
  <c r="K569" i="9"/>
  <c r="J569" i="9"/>
  <c r="I569" i="9"/>
  <c r="H569" i="9"/>
  <c r="G569" i="9"/>
  <c r="A569" i="9"/>
  <c r="K589" i="9"/>
  <c r="J589" i="9"/>
  <c r="I589" i="9"/>
  <c r="H589" i="9"/>
  <c r="A589" i="9"/>
  <c r="K588" i="9"/>
  <c r="J588" i="9"/>
  <c r="I588" i="9"/>
  <c r="H588" i="9"/>
  <c r="A588" i="9"/>
  <c r="K587" i="9"/>
  <c r="J587" i="9"/>
  <c r="I587" i="9"/>
  <c r="H587" i="9"/>
  <c r="G587" i="9"/>
  <c r="A587" i="9"/>
  <c r="K499" i="9"/>
  <c r="J499" i="9"/>
  <c r="I499" i="9"/>
  <c r="H499" i="9"/>
  <c r="A499" i="9"/>
  <c r="K498" i="9"/>
  <c r="J498" i="9"/>
  <c r="I498" i="9"/>
  <c r="H498" i="9"/>
  <c r="A498" i="9"/>
  <c r="K497" i="9"/>
  <c r="J497" i="9"/>
  <c r="I497" i="9"/>
  <c r="H497" i="9"/>
  <c r="G497" i="9"/>
  <c r="A497" i="9"/>
  <c r="K313" i="9"/>
  <c r="J313" i="9"/>
  <c r="I313" i="9"/>
  <c r="H313" i="9"/>
  <c r="A313" i="9"/>
  <c r="K312" i="9"/>
  <c r="J312" i="9"/>
  <c r="I312" i="9"/>
  <c r="H312" i="9"/>
  <c r="A312" i="9"/>
  <c r="K311" i="9"/>
  <c r="J311" i="9"/>
  <c r="I311" i="9"/>
  <c r="H311" i="9"/>
  <c r="G311" i="9"/>
  <c r="A311" i="9"/>
  <c r="F38" i="5"/>
  <c r="F41" i="5"/>
  <c r="I44" i="9" l="1"/>
  <c r="Q44" i="9" s="1"/>
  <c r="Q98" i="9"/>
  <c r="O98" i="9"/>
  <c r="M98" i="9"/>
  <c r="R98" i="9"/>
  <c r="P98" i="9"/>
  <c r="N98" i="9"/>
  <c r="L98" i="9"/>
  <c r="R44" i="9"/>
  <c r="Q128" i="9"/>
  <c r="O128" i="9"/>
  <c r="M128" i="9"/>
  <c r="R128" i="9"/>
  <c r="P128" i="9"/>
  <c r="N128" i="9"/>
  <c r="L128" i="9"/>
  <c r="N44" i="9" l="1"/>
  <c r="O44" i="9"/>
  <c r="L44" i="9"/>
  <c r="P44" i="9"/>
  <c r="M44" i="9"/>
  <c r="S98" i="9"/>
  <c r="S128" i="9"/>
  <c r="S44" i="9" l="1"/>
  <c r="B3" i="1"/>
  <c r="K16" i="9"/>
  <c r="J16" i="9"/>
  <c r="I16" i="9"/>
  <c r="H16" i="9"/>
  <c r="A16" i="9"/>
  <c r="K15" i="9"/>
  <c r="J15" i="9"/>
  <c r="I15" i="9"/>
  <c r="H15" i="9"/>
  <c r="A15" i="9"/>
  <c r="K14" i="9"/>
  <c r="J14" i="9"/>
  <c r="H14" i="9"/>
  <c r="G14" i="9"/>
  <c r="D14" i="9"/>
  <c r="I14" i="9" s="1"/>
  <c r="A14" i="9"/>
  <c r="L37" i="13"/>
  <c r="L63" i="13"/>
  <c r="L56" i="13"/>
  <c r="L50" i="13"/>
  <c r="L43" i="13"/>
  <c r="Q14" i="9" l="1"/>
  <c r="O14" i="9"/>
  <c r="M14" i="9"/>
  <c r="R14" i="9"/>
  <c r="P14" i="9"/>
  <c r="N14" i="9"/>
  <c r="L14" i="9"/>
  <c r="S14" i="9" l="1"/>
  <c r="Y62" i="13" l="1"/>
  <c r="T63" i="13"/>
  <c r="T62" i="13"/>
  <c r="U62" i="13" s="1"/>
  <c r="T56" i="13"/>
  <c r="P63" i="13"/>
  <c r="P62" i="13"/>
  <c r="Q62" i="13" s="1"/>
  <c r="P56" i="13"/>
  <c r="H63" i="13"/>
  <c r="H62" i="13"/>
  <c r="I62" i="13" s="1"/>
  <c r="H56" i="13"/>
  <c r="D63" i="13"/>
  <c r="D62" i="13"/>
  <c r="E62" i="13" s="1"/>
  <c r="D56" i="13"/>
  <c r="X50" i="13"/>
  <c r="P50" i="13"/>
  <c r="P49" i="13"/>
  <c r="P43" i="13"/>
  <c r="H50" i="13"/>
  <c r="H49" i="13"/>
  <c r="I49" i="13" s="1"/>
  <c r="H43" i="13"/>
  <c r="D50" i="13"/>
  <c r="D49" i="13"/>
  <c r="E49" i="13" s="1"/>
  <c r="D43" i="13"/>
  <c r="Q49" i="13"/>
  <c r="X37" i="13"/>
  <c r="X36" i="13"/>
  <c r="Y36" i="13" s="1"/>
  <c r="X30" i="13"/>
  <c r="T37" i="13"/>
  <c r="T36" i="13"/>
  <c r="U36" i="13" s="1"/>
  <c r="P36" i="13"/>
  <c r="Q36" i="13" s="1"/>
  <c r="P30" i="13"/>
  <c r="H37" i="13"/>
  <c r="H36" i="13"/>
  <c r="I36" i="13" s="1"/>
  <c r="H30" i="13"/>
  <c r="D37" i="13"/>
  <c r="D36" i="13"/>
  <c r="E36" i="13" s="1"/>
  <c r="D30" i="13"/>
  <c r="X24" i="13"/>
  <c r="T24" i="13"/>
  <c r="P24" i="13"/>
  <c r="L24" i="13"/>
  <c r="H24" i="13"/>
  <c r="X23" i="13"/>
  <c r="Y23" i="13" s="1"/>
  <c r="T23" i="13"/>
  <c r="U23" i="13" s="1"/>
  <c r="X17" i="13"/>
  <c r="T17" i="13"/>
  <c r="P23" i="13"/>
  <c r="Q23" i="13" s="1"/>
  <c r="H23" i="13"/>
  <c r="I23" i="13" s="1"/>
  <c r="P17" i="13"/>
  <c r="L17" i="13"/>
  <c r="H17" i="13"/>
  <c r="D24" i="13"/>
  <c r="D23" i="13"/>
  <c r="E23" i="13" s="1"/>
  <c r="D17" i="13"/>
  <c r="U49" i="13"/>
  <c r="X10" i="13"/>
  <c r="Y10" i="13" s="1"/>
  <c r="T10" i="13"/>
  <c r="U10" i="13" s="1"/>
  <c r="P10" i="13"/>
  <c r="Q10" i="13" s="1"/>
  <c r="X4" i="13"/>
  <c r="T4" i="13"/>
  <c r="D11" i="13"/>
  <c r="X11" i="13" l="1"/>
  <c r="T11" i="13"/>
  <c r="P11" i="13"/>
  <c r="H11" i="13"/>
  <c r="L11" i="13"/>
  <c r="L4" i="13"/>
  <c r="P4" i="13"/>
  <c r="H10" i="13"/>
  <c r="I10" i="13" s="1"/>
  <c r="D10" i="13"/>
  <c r="E10" i="13" s="1"/>
  <c r="D4" i="13"/>
  <c r="H4" i="13"/>
  <c r="F11" i="3" l="1"/>
  <c r="F8" i="3" s="1"/>
  <c r="B4" i="13"/>
  <c r="A1" i="13"/>
  <c r="H593" i="9"/>
  <c r="I593" i="9" s="1"/>
  <c r="K475" i="9"/>
  <c r="J475" i="9"/>
  <c r="I475" i="9"/>
  <c r="H475" i="9"/>
  <c r="A475" i="9"/>
  <c r="K474" i="9"/>
  <c r="J474" i="9"/>
  <c r="I474" i="9"/>
  <c r="H474" i="9"/>
  <c r="A474" i="9"/>
  <c r="K473" i="9"/>
  <c r="J473" i="9"/>
  <c r="H473" i="9"/>
  <c r="I473" i="9" s="1"/>
  <c r="G473" i="9"/>
  <c r="A473" i="9"/>
  <c r="H596" i="9"/>
  <c r="I596" i="9" s="1"/>
  <c r="K226" i="9"/>
  <c r="J226" i="9"/>
  <c r="I226" i="9"/>
  <c r="H226" i="9"/>
  <c r="A226" i="9"/>
  <c r="K225" i="9"/>
  <c r="J225" i="9"/>
  <c r="I225" i="9"/>
  <c r="H225" i="9"/>
  <c r="A225" i="9"/>
  <c r="K224" i="9"/>
  <c r="J224" i="9"/>
  <c r="I224" i="9"/>
  <c r="H224" i="9"/>
  <c r="G224" i="9"/>
  <c r="A224" i="9"/>
  <c r="T2" i="6"/>
  <c r="T1" i="7"/>
  <c r="T1" i="6"/>
  <c r="T1" i="5"/>
  <c r="T1" i="4"/>
  <c r="I496" i="9"/>
  <c r="I495" i="9"/>
  <c r="I494" i="9"/>
  <c r="I502" i="9"/>
  <c r="I501" i="9"/>
  <c r="I500" i="9"/>
  <c r="I505" i="9"/>
  <c r="I504" i="9"/>
  <c r="I503" i="9"/>
  <c r="K496" i="9"/>
  <c r="J496" i="9"/>
  <c r="H496" i="9"/>
  <c r="A496" i="9"/>
  <c r="K495" i="9"/>
  <c r="J495" i="9"/>
  <c r="H495" i="9"/>
  <c r="A495" i="9"/>
  <c r="K494" i="9"/>
  <c r="J494" i="9"/>
  <c r="H494" i="9"/>
  <c r="G494" i="9"/>
  <c r="A494" i="9"/>
  <c r="K502" i="9"/>
  <c r="J502" i="9"/>
  <c r="H502" i="9"/>
  <c r="A502" i="9"/>
  <c r="K501" i="9"/>
  <c r="J501" i="9"/>
  <c r="H501" i="9"/>
  <c r="A501" i="9"/>
  <c r="K500" i="9"/>
  <c r="J500" i="9"/>
  <c r="H500" i="9"/>
  <c r="G500" i="9"/>
  <c r="A500" i="9"/>
  <c r="I539" i="9"/>
  <c r="I597" i="9"/>
  <c r="I170" i="9"/>
  <c r="I167" i="9"/>
  <c r="I108" i="9"/>
  <c r="I117" i="9"/>
  <c r="I168" i="9"/>
  <c r="I171" i="9"/>
  <c r="K109" i="9"/>
  <c r="J109" i="9"/>
  <c r="I109" i="9"/>
  <c r="H109" i="9"/>
  <c r="A109" i="9"/>
  <c r="K108" i="9"/>
  <c r="J108" i="9"/>
  <c r="H108" i="9"/>
  <c r="A108" i="9"/>
  <c r="K107" i="9"/>
  <c r="J107" i="9"/>
  <c r="H107" i="9"/>
  <c r="G107" i="9"/>
  <c r="D107" i="9"/>
  <c r="I107" i="9" s="1"/>
  <c r="A107" i="9"/>
  <c r="K106" i="9"/>
  <c r="J106" i="9"/>
  <c r="I106" i="9"/>
  <c r="H106" i="9"/>
  <c r="A106" i="9"/>
  <c r="K105" i="9"/>
  <c r="J105" i="9"/>
  <c r="I105" i="9"/>
  <c r="H105" i="9"/>
  <c r="A105" i="9"/>
  <c r="K104" i="9"/>
  <c r="J104" i="9"/>
  <c r="H104" i="9"/>
  <c r="G104" i="9"/>
  <c r="D104" i="9"/>
  <c r="I104" i="9" s="1"/>
  <c r="A104" i="9"/>
  <c r="C98" i="10"/>
  <c r="D98" i="10"/>
  <c r="E98" i="10"/>
  <c r="F98" i="10"/>
  <c r="G98" i="10"/>
  <c r="H98" i="10"/>
  <c r="I98" i="10"/>
  <c r="I140" i="10"/>
  <c r="H140" i="10"/>
  <c r="G140" i="10"/>
  <c r="F140" i="10"/>
  <c r="E140" i="10"/>
  <c r="D140" i="10"/>
  <c r="C140" i="10"/>
  <c r="K568" i="9"/>
  <c r="J568" i="9"/>
  <c r="I568" i="9"/>
  <c r="H568" i="9"/>
  <c r="A568" i="9"/>
  <c r="K567" i="9"/>
  <c r="J567" i="9"/>
  <c r="I567" i="9"/>
  <c r="H567" i="9"/>
  <c r="A567" i="9"/>
  <c r="K566" i="9"/>
  <c r="J566" i="9"/>
  <c r="I566" i="9"/>
  <c r="H566" i="9"/>
  <c r="G566" i="9"/>
  <c r="A566" i="9"/>
  <c r="K145" i="9"/>
  <c r="J145" i="9"/>
  <c r="I145" i="9"/>
  <c r="H145" i="9"/>
  <c r="A145" i="9"/>
  <c r="K144" i="9"/>
  <c r="J144" i="9"/>
  <c r="H144" i="9"/>
  <c r="I144" i="9" s="1"/>
  <c r="A144" i="9"/>
  <c r="K143" i="9"/>
  <c r="J143" i="9"/>
  <c r="H143" i="9"/>
  <c r="G143" i="9"/>
  <c r="D143" i="9"/>
  <c r="I143" i="9" s="1"/>
  <c r="A143" i="9"/>
  <c r="K121" i="9"/>
  <c r="J121" i="9"/>
  <c r="I121" i="9"/>
  <c r="H121" i="9"/>
  <c r="A121" i="9"/>
  <c r="K120" i="9"/>
  <c r="J120" i="9"/>
  <c r="H120" i="9"/>
  <c r="I120" i="9" s="1"/>
  <c r="A120" i="9"/>
  <c r="K119" i="9"/>
  <c r="J119" i="9"/>
  <c r="H119" i="9"/>
  <c r="G119" i="9"/>
  <c r="D119" i="9"/>
  <c r="I119" i="9" s="1"/>
  <c r="A119" i="9"/>
  <c r="I106" i="10"/>
  <c r="H106" i="10"/>
  <c r="G106" i="10"/>
  <c r="F106" i="10"/>
  <c r="E106" i="10"/>
  <c r="D106" i="10"/>
  <c r="C106" i="10"/>
  <c r="K559" i="9"/>
  <c r="J559" i="9"/>
  <c r="I559" i="9"/>
  <c r="H559" i="9"/>
  <c r="A559" i="9"/>
  <c r="K558" i="9"/>
  <c r="J558" i="9"/>
  <c r="I558" i="9"/>
  <c r="H558" i="9"/>
  <c r="A558" i="9"/>
  <c r="K557" i="9"/>
  <c r="J557" i="9"/>
  <c r="I557" i="9"/>
  <c r="H557" i="9"/>
  <c r="G557" i="9"/>
  <c r="A557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K544" i="9"/>
  <c r="J544" i="9"/>
  <c r="I544" i="9"/>
  <c r="H544" i="9"/>
  <c r="A544" i="9"/>
  <c r="K543" i="9"/>
  <c r="J543" i="9"/>
  <c r="I543" i="9"/>
  <c r="H543" i="9"/>
  <c r="A543" i="9"/>
  <c r="K542" i="9"/>
  <c r="J542" i="9"/>
  <c r="I542" i="9"/>
  <c r="H542" i="9"/>
  <c r="G542" i="9"/>
  <c r="A542" i="9"/>
  <c r="K388" i="9"/>
  <c r="J388" i="9"/>
  <c r="I388" i="9"/>
  <c r="H388" i="9"/>
  <c r="A388" i="9"/>
  <c r="K387" i="9"/>
  <c r="J387" i="9"/>
  <c r="I387" i="9"/>
  <c r="H387" i="9"/>
  <c r="A387" i="9"/>
  <c r="K386" i="9"/>
  <c r="J386" i="9"/>
  <c r="I386" i="9"/>
  <c r="H386" i="9"/>
  <c r="G386" i="9"/>
  <c r="A386" i="9"/>
  <c r="K298" i="9"/>
  <c r="J298" i="9"/>
  <c r="I298" i="9"/>
  <c r="H298" i="9"/>
  <c r="A298" i="9"/>
  <c r="K297" i="9"/>
  <c r="J297" i="9"/>
  <c r="I297" i="9"/>
  <c r="H297" i="9"/>
  <c r="A297" i="9"/>
  <c r="K296" i="9"/>
  <c r="J296" i="9"/>
  <c r="I296" i="9"/>
  <c r="H296" i="9"/>
  <c r="G296" i="9"/>
  <c r="A296" i="9"/>
  <c r="K118" i="9"/>
  <c r="J118" i="9"/>
  <c r="I118" i="9"/>
  <c r="H118" i="9"/>
  <c r="A118" i="9"/>
  <c r="K117" i="9"/>
  <c r="J117" i="9"/>
  <c r="H117" i="9"/>
  <c r="A117" i="9"/>
  <c r="K116" i="9"/>
  <c r="J116" i="9"/>
  <c r="H116" i="9"/>
  <c r="G116" i="9"/>
  <c r="D116" i="9"/>
  <c r="I116" i="9" s="1"/>
  <c r="A116" i="9"/>
  <c r="H77" i="10"/>
  <c r="K52" i="9"/>
  <c r="J52" i="9"/>
  <c r="I52" i="9"/>
  <c r="H52" i="9"/>
  <c r="A52" i="9"/>
  <c r="K51" i="9"/>
  <c r="J51" i="9"/>
  <c r="I51" i="9"/>
  <c r="H51" i="9"/>
  <c r="A51" i="9"/>
  <c r="K50" i="9"/>
  <c r="J50" i="9"/>
  <c r="H50" i="9"/>
  <c r="G50" i="9"/>
  <c r="D50" i="9"/>
  <c r="I50" i="9" s="1"/>
  <c r="A50" i="9"/>
  <c r="T2" i="7"/>
  <c r="T2" i="5"/>
  <c r="T2" i="4"/>
  <c r="T2" i="3"/>
  <c r="T1" i="3"/>
  <c r="D164" i="9"/>
  <c r="D161" i="9"/>
  <c r="D158" i="9"/>
  <c r="D155" i="9"/>
  <c r="D152" i="9"/>
  <c r="D146" i="9"/>
  <c r="D140" i="9"/>
  <c r="D137" i="9"/>
  <c r="D134" i="9"/>
  <c r="D131" i="9"/>
  <c r="D125" i="9"/>
  <c r="D122" i="9"/>
  <c r="D113" i="9"/>
  <c r="D101" i="9"/>
  <c r="D95" i="9"/>
  <c r="D92" i="9"/>
  <c r="D89" i="9"/>
  <c r="D86" i="9"/>
  <c r="D80" i="9"/>
  <c r="D74" i="9"/>
  <c r="D71" i="9"/>
  <c r="D68" i="9"/>
  <c r="D62" i="9"/>
  <c r="D59" i="9"/>
  <c r="D56" i="9"/>
  <c r="D47" i="9"/>
  <c r="D41" i="9"/>
  <c r="D39" i="9"/>
  <c r="D38" i="9"/>
  <c r="D36" i="9"/>
  <c r="D35" i="9"/>
  <c r="D34" i="9"/>
  <c r="D33" i="9"/>
  <c r="D32" i="9"/>
  <c r="D29" i="9"/>
  <c r="D26" i="9"/>
  <c r="D23" i="9"/>
  <c r="D17" i="9"/>
  <c r="D20" i="9"/>
  <c r="D5" i="9"/>
  <c r="D2" i="9"/>
  <c r="K598" i="9"/>
  <c r="J598" i="9"/>
  <c r="I598" i="9"/>
  <c r="H598" i="9"/>
  <c r="A598" i="9"/>
  <c r="K597" i="9"/>
  <c r="J597" i="9"/>
  <c r="H597" i="9"/>
  <c r="A597" i="9"/>
  <c r="K596" i="9"/>
  <c r="J596" i="9"/>
  <c r="G596" i="9"/>
  <c r="A596" i="9"/>
  <c r="G182" i="9"/>
  <c r="H182" i="9"/>
  <c r="I182" i="9"/>
  <c r="J182" i="9"/>
  <c r="K182" i="9"/>
  <c r="H183" i="9"/>
  <c r="I183" i="9"/>
  <c r="J183" i="9"/>
  <c r="K183" i="9"/>
  <c r="H184" i="9"/>
  <c r="I184" i="9"/>
  <c r="J184" i="9"/>
  <c r="K184" i="9"/>
  <c r="G368" i="9"/>
  <c r="H368" i="9"/>
  <c r="I368" i="9"/>
  <c r="J368" i="9"/>
  <c r="K368" i="9"/>
  <c r="H369" i="9"/>
  <c r="I369" i="9"/>
  <c r="J369" i="9"/>
  <c r="K369" i="9"/>
  <c r="H370" i="9"/>
  <c r="I370" i="9"/>
  <c r="J370" i="9"/>
  <c r="K370" i="9"/>
  <c r="G257" i="9"/>
  <c r="H257" i="9"/>
  <c r="I257" i="9"/>
  <c r="J257" i="9"/>
  <c r="K257" i="9"/>
  <c r="H258" i="9"/>
  <c r="I258" i="9"/>
  <c r="J258" i="9"/>
  <c r="K258" i="9"/>
  <c r="H259" i="9"/>
  <c r="I259" i="9"/>
  <c r="J259" i="9"/>
  <c r="K259" i="9" s="1"/>
  <c r="G371" i="9"/>
  <c r="H371" i="9"/>
  <c r="J371" i="9"/>
  <c r="K371" i="9"/>
  <c r="H372" i="9"/>
  <c r="I372" i="9"/>
  <c r="J372" i="9"/>
  <c r="K372" i="9"/>
  <c r="H373" i="9"/>
  <c r="I373" i="9"/>
  <c r="J373" i="9"/>
  <c r="K373" i="9"/>
  <c r="G74" i="9"/>
  <c r="H74" i="9"/>
  <c r="J74" i="9"/>
  <c r="K74" i="9"/>
  <c r="H75" i="9"/>
  <c r="I75" i="9" s="1"/>
  <c r="J75" i="9"/>
  <c r="K75" i="9"/>
  <c r="H76" i="9"/>
  <c r="I76" i="9"/>
  <c r="J76" i="9"/>
  <c r="K76" i="9"/>
  <c r="G77" i="9"/>
  <c r="H77" i="9"/>
  <c r="I77" i="9"/>
  <c r="J77" i="9"/>
  <c r="K77" i="9"/>
  <c r="H78" i="9"/>
  <c r="I78" i="9" s="1"/>
  <c r="J78" i="9"/>
  <c r="K78" i="9"/>
  <c r="H79" i="9"/>
  <c r="I79" i="9"/>
  <c r="J79" i="9"/>
  <c r="K79" i="9"/>
  <c r="G176" i="9"/>
  <c r="H176" i="9"/>
  <c r="I176" i="9"/>
  <c r="J176" i="9"/>
  <c r="K176" i="9"/>
  <c r="H177" i="9"/>
  <c r="I177" i="9"/>
  <c r="J177" i="9"/>
  <c r="K177" i="9"/>
  <c r="H178" i="9"/>
  <c r="I178" i="9"/>
  <c r="J178" i="9"/>
  <c r="K178" i="9"/>
  <c r="G551" i="9"/>
  <c r="H551" i="9"/>
  <c r="I551" i="9"/>
  <c r="J551" i="9"/>
  <c r="K551" i="9"/>
  <c r="H552" i="9"/>
  <c r="I552" i="9"/>
  <c r="J552" i="9"/>
  <c r="K552" i="9"/>
  <c r="H553" i="9"/>
  <c r="I553" i="9"/>
  <c r="J553" i="9"/>
  <c r="K553" i="9"/>
  <c r="G404" i="9"/>
  <c r="H404" i="9"/>
  <c r="I404" i="9"/>
  <c r="J404" i="9"/>
  <c r="K404" i="9" s="1"/>
  <c r="H405" i="9"/>
  <c r="I405" i="9"/>
  <c r="J405" i="9"/>
  <c r="K405" i="9" s="1"/>
  <c r="H406" i="9"/>
  <c r="I406" i="9"/>
  <c r="J406" i="9"/>
  <c r="K406" i="9"/>
  <c r="G374" i="9"/>
  <c r="H374" i="9"/>
  <c r="I374" i="9"/>
  <c r="J374" i="9"/>
  <c r="K374" i="9" s="1"/>
  <c r="H375" i="9"/>
  <c r="I375" i="9"/>
  <c r="J375" i="9"/>
  <c r="K375" i="9"/>
  <c r="H376" i="9"/>
  <c r="I376" i="9"/>
  <c r="J376" i="9"/>
  <c r="K376" i="9"/>
  <c r="G578" i="9"/>
  <c r="H578" i="9"/>
  <c r="I578" i="9"/>
  <c r="J578" i="9"/>
  <c r="K578" i="9"/>
  <c r="H579" i="9"/>
  <c r="I579" i="9"/>
  <c r="J579" i="9"/>
  <c r="K579" i="9"/>
  <c r="H580" i="9"/>
  <c r="I580" i="9"/>
  <c r="J580" i="9"/>
  <c r="K580" i="9"/>
  <c r="G383" i="9"/>
  <c r="H383" i="9"/>
  <c r="I383" i="9"/>
  <c r="J383" i="9"/>
  <c r="K383" i="9"/>
  <c r="H384" i="9"/>
  <c r="I384" i="9" s="1"/>
  <c r="J384" i="9"/>
  <c r="K384" i="9"/>
  <c r="H385" i="9"/>
  <c r="I385" i="9"/>
  <c r="J385" i="9"/>
  <c r="K385" i="9"/>
  <c r="G185" i="9"/>
  <c r="H185" i="9"/>
  <c r="I185" i="9"/>
  <c r="J185" i="9"/>
  <c r="K185" i="9"/>
  <c r="H186" i="9"/>
  <c r="I186" i="9"/>
  <c r="J186" i="9"/>
  <c r="K186" i="9"/>
  <c r="H187" i="9"/>
  <c r="I187" i="9"/>
  <c r="J187" i="9"/>
  <c r="K187" i="9"/>
  <c r="G389" i="9"/>
  <c r="H389" i="9"/>
  <c r="I389" i="9"/>
  <c r="J389" i="9"/>
  <c r="K389" i="9"/>
  <c r="H390" i="9"/>
  <c r="I390" i="9"/>
  <c r="J390" i="9"/>
  <c r="K390" i="9"/>
  <c r="H391" i="9"/>
  <c r="I391" i="9"/>
  <c r="J391" i="9"/>
  <c r="K391" i="9"/>
  <c r="G443" i="9"/>
  <c r="H443" i="9"/>
  <c r="I443" i="9"/>
  <c r="J443" i="9"/>
  <c r="K443" i="9"/>
  <c r="H444" i="9"/>
  <c r="I444" i="9" s="1"/>
  <c r="J444" i="9"/>
  <c r="K444" i="9"/>
  <c r="H445" i="9"/>
  <c r="I445" i="9" s="1"/>
  <c r="J445" i="9"/>
  <c r="K445" i="9"/>
  <c r="G278" i="9"/>
  <c r="H278" i="9"/>
  <c r="I278" i="9"/>
  <c r="J278" i="9"/>
  <c r="K278" i="9"/>
  <c r="H279" i="9"/>
  <c r="I279" i="9"/>
  <c r="J279" i="9"/>
  <c r="K279" i="9"/>
  <c r="H280" i="9"/>
  <c r="I280" i="9"/>
  <c r="J280" i="9"/>
  <c r="K280" i="9"/>
  <c r="G554" i="9"/>
  <c r="H554" i="9"/>
  <c r="I554" i="9"/>
  <c r="J554" i="9"/>
  <c r="K554" i="9"/>
  <c r="H555" i="9"/>
  <c r="I555" i="9"/>
  <c r="J555" i="9"/>
  <c r="K555" i="9"/>
  <c r="H556" i="9"/>
  <c r="I556" i="9"/>
  <c r="J556" i="9"/>
  <c r="K556" i="9"/>
  <c r="G188" i="9"/>
  <c r="H188" i="9"/>
  <c r="I188" i="9"/>
  <c r="J188" i="9"/>
  <c r="K188" i="9"/>
  <c r="H189" i="9"/>
  <c r="I189" i="9" s="1"/>
  <c r="J189" i="9"/>
  <c r="K189" i="9"/>
  <c r="H190" i="9"/>
  <c r="I190" i="9"/>
  <c r="J190" i="9"/>
  <c r="K190" i="9"/>
  <c r="G461" i="9"/>
  <c r="H461" i="9"/>
  <c r="I461" i="9"/>
  <c r="J461" i="9"/>
  <c r="K461" i="9"/>
  <c r="H462" i="9"/>
  <c r="I462" i="9"/>
  <c r="J462" i="9"/>
  <c r="K462" i="9"/>
  <c r="H463" i="9"/>
  <c r="I463" i="9"/>
  <c r="J463" i="9"/>
  <c r="K463" i="9"/>
  <c r="G563" i="9"/>
  <c r="H563" i="9"/>
  <c r="I563" i="9"/>
  <c r="J563" i="9"/>
  <c r="K563" i="9"/>
  <c r="H564" i="9"/>
  <c r="I564" i="9"/>
  <c r="J564" i="9"/>
  <c r="K564" i="9"/>
  <c r="H565" i="9"/>
  <c r="I565" i="9"/>
  <c r="J565" i="9"/>
  <c r="K565" i="9"/>
  <c r="G377" i="9"/>
  <c r="H377" i="9"/>
  <c r="I377" i="9"/>
  <c r="J377" i="9"/>
  <c r="K377" i="9" s="1"/>
  <c r="H378" i="9"/>
  <c r="J378" i="9"/>
  <c r="K378" i="9" s="1"/>
  <c r="H379" i="9"/>
  <c r="I379" i="9"/>
  <c r="J379" i="9"/>
  <c r="K379" i="9"/>
  <c r="G200" i="9"/>
  <c r="H200" i="9"/>
  <c r="I200" i="9"/>
  <c r="J200" i="9"/>
  <c r="K200" i="9"/>
  <c r="H201" i="9"/>
  <c r="I201" i="9"/>
  <c r="J201" i="9"/>
  <c r="K201" i="9"/>
  <c r="H202" i="9"/>
  <c r="I202" i="9"/>
  <c r="J202" i="9"/>
  <c r="K202" i="9"/>
  <c r="G464" i="9"/>
  <c r="H464" i="9"/>
  <c r="I464" i="9" s="1"/>
  <c r="J464" i="9"/>
  <c r="K464" i="9"/>
  <c r="H465" i="9"/>
  <c r="I465" i="9"/>
  <c r="J465" i="9"/>
  <c r="K465" i="9"/>
  <c r="H466" i="9"/>
  <c r="I466" i="9" s="1"/>
  <c r="J466" i="9"/>
  <c r="K466" i="9"/>
  <c r="G314" i="9"/>
  <c r="H314" i="9"/>
  <c r="I314" i="9"/>
  <c r="J314" i="9"/>
  <c r="K314" i="9"/>
  <c r="H315" i="9"/>
  <c r="I315" i="9"/>
  <c r="J315" i="9"/>
  <c r="K315" i="9"/>
  <c r="H316" i="9"/>
  <c r="I316" i="9"/>
  <c r="J316" i="9"/>
  <c r="K316" i="9"/>
  <c r="G317" i="9"/>
  <c r="H317" i="9"/>
  <c r="I317" i="9"/>
  <c r="J317" i="9"/>
  <c r="K317" i="9"/>
  <c r="H318" i="9"/>
  <c r="I318" i="9"/>
  <c r="J318" i="9"/>
  <c r="K318" i="9"/>
  <c r="H319" i="9"/>
  <c r="I319" i="9"/>
  <c r="J319" i="9"/>
  <c r="K319" i="9"/>
  <c r="G269" i="9"/>
  <c r="H269" i="9"/>
  <c r="I269" i="9"/>
  <c r="J269" i="9"/>
  <c r="K269" i="9"/>
  <c r="H270" i="9"/>
  <c r="I270" i="9"/>
  <c r="J270" i="9"/>
  <c r="K270" i="9"/>
  <c r="H271" i="9"/>
  <c r="I271" i="9"/>
  <c r="J271" i="9"/>
  <c r="K271" i="9"/>
  <c r="G419" i="9"/>
  <c r="H419" i="9"/>
  <c r="I419" i="9"/>
  <c r="J419" i="9"/>
  <c r="K419" i="9"/>
  <c r="H420" i="9"/>
  <c r="I420" i="9"/>
  <c r="J420" i="9"/>
  <c r="K420" i="9" s="1"/>
  <c r="H421" i="9"/>
  <c r="I421" i="9"/>
  <c r="J421" i="9"/>
  <c r="K421" i="9"/>
  <c r="G230" i="9"/>
  <c r="H230" i="9"/>
  <c r="I230" i="9"/>
  <c r="J230" i="9"/>
  <c r="K230" i="9"/>
  <c r="H231" i="9"/>
  <c r="I231" i="9"/>
  <c r="J231" i="9"/>
  <c r="K231" i="9"/>
  <c r="H232" i="9"/>
  <c r="I232" i="9"/>
  <c r="J232" i="9"/>
  <c r="K232" i="9"/>
  <c r="G446" i="9"/>
  <c r="H446" i="9"/>
  <c r="I446" i="9"/>
  <c r="J446" i="9"/>
  <c r="K446" i="9"/>
  <c r="H447" i="9"/>
  <c r="I447" i="9"/>
  <c r="J447" i="9"/>
  <c r="K447" i="9"/>
  <c r="H448" i="9"/>
  <c r="I448" i="9"/>
  <c r="J448" i="9"/>
  <c r="K448" i="9" s="1"/>
  <c r="G137" i="9"/>
  <c r="H137" i="9"/>
  <c r="I137" i="9" s="1"/>
  <c r="J137" i="9"/>
  <c r="K137" i="9"/>
  <c r="H138" i="9"/>
  <c r="I138" i="9"/>
  <c r="J138" i="9"/>
  <c r="K138" i="9"/>
  <c r="H139" i="9"/>
  <c r="I139" i="9"/>
  <c r="J139" i="9"/>
  <c r="K139" i="9"/>
  <c r="G281" i="9"/>
  <c r="H281" i="9"/>
  <c r="I281" i="9"/>
  <c r="J281" i="9"/>
  <c r="K281" i="9"/>
  <c r="H282" i="9"/>
  <c r="I282" i="9"/>
  <c r="J282" i="9"/>
  <c r="K282" i="9" s="1"/>
  <c r="H283" i="9"/>
  <c r="I283" i="9"/>
  <c r="J283" i="9"/>
  <c r="K283" i="9" s="1"/>
  <c r="G560" i="9"/>
  <c r="H560" i="9"/>
  <c r="I560" i="9"/>
  <c r="J560" i="9"/>
  <c r="K560" i="9"/>
  <c r="H561" i="9"/>
  <c r="I561" i="9"/>
  <c r="J561" i="9"/>
  <c r="K561" i="9"/>
  <c r="H562" i="9"/>
  <c r="I562" i="9"/>
  <c r="J562" i="9"/>
  <c r="K562" i="9"/>
  <c r="G164" i="9"/>
  <c r="H164" i="9"/>
  <c r="I164" i="9" s="1"/>
  <c r="J164" i="9"/>
  <c r="K164" i="9"/>
  <c r="H165" i="9"/>
  <c r="I165" i="9"/>
  <c r="J165" i="9"/>
  <c r="K165" i="9"/>
  <c r="H166" i="9"/>
  <c r="I166" i="9" s="1"/>
  <c r="J166" i="9"/>
  <c r="K166" i="9"/>
  <c r="G431" i="9"/>
  <c r="H431" i="9"/>
  <c r="I431" i="9"/>
  <c r="J431" i="9"/>
  <c r="K431" i="9"/>
  <c r="H432" i="9"/>
  <c r="I432" i="9"/>
  <c r="J432" i="9"/>
  <c r="K432" i="9"/>
  <c r="H433" i="9"/>
  <c r="I433" i="9"/>
  <c r="J433" i="9"/>
  <c r="K433" i="9"/>
  <c r="G221" i="9"/>
  <c r="H221" i="9"/>
  <c r="I221" i="9"/>
  <c r="J221" i="9"/>
  <c r="K221" i="9" s="1"/>
  <c r="H222" i="9"/>
  <c r="I222" i="9"/>
  <c r="J222" i="9"/>
  <c r="K222" i="9"/>
  <c r="H223" i="9"/>
  <c r="I223" i="9"/>
  <c r="J223" i="9"/>
  <c r="K223" i="9"/>
  <c r="G134" i="9"/>
  <c r="H134" i="9"/>
  <c r="I134" i="9" s="1"/>
  <c r="J134" i="9"/>
  <c r="K134" i="9"/>
  <c r="H135" i="9"/>
  <c r="I135" i="9" s="1"/>
  <c r="J135" i="9"/>
  <c r="K135" i="9"/>
  <c r="H136" i="9"/>
  <c r="I136" i="9"/>
  <c r="J136" i="9"/>
  <c r="K136" i="9"/>
  <c r="G260" i="9"/>
  <c r="H260" i="9"/>
  <c r="I260" i="9"/>
  <c r="J260" i="9"/>
  <c r="K260" i="9"/>
  <c r="H261" i="9"/>
  <c r="I261" i="9"/>
  <c r="J261" i="9"/>
  <c r="K261" i="9"/>
  <c r="H262" i="9"/>
  <c r="I262" i="9"/>
  <c r="J262" i="9"/>
  <c r="K262" i="9"/>
  <c r="G599" i="9"/>
  <c r="H599" i="9"/>
  <c r="I599" i="9"/>
  <c r="J599" i="9"/>
  <c r="K599" i="9"/>
  <c r="H600" i="9"/>
  <c r="I600" i="9"/>
  <c r="J600" i="9"/>
  <c r="K600" i="9"/>
  <c r="H601" i="9"/>
  <c r="I601" i="9"/>
  <c r="J601" i="9"/>
  <c r="K601" i="9"/>
  <c r="G602" i="9"/>
  <c r="H602" i="9"/>
  <c r="I602" i="9"/>
  <c r="J602" i="9"/>
  <c r="K602" i="9"/>
  <c r="H603" i="9"/>
  <c r="I603" i="9"/>
  <c r="J603" i="9"/>
  <c r="K603" i="9"/>
  <c r="H604" i="9"/>
  <c r="I604" i="9"/>
  <c r="J604" i="9"/>
  <c r="K604" i="9"/>
  <c r="G605" i="9"/>
  <c r="H605" i="9"/>
  <c r="I605" i="9"/>
  <c r="J605" i="9"/>
  <c r="K605" i="9"/>
  <c r="H606" i="9"/>
  <c r="I606" i="9"/>
  <c r="J606" i="9"/>
  <c r="K606" i="9"/>
  <c r="H607" i="9"/>
  <c r="I607" i="9"/>
  <c r="J607" i="9"/>
  <c r="K607" i="9"/>
  <c r="G608" i="9"/>
  <c r="H608" i="9"/>
  <c r="I608" i="9"/>
  <c r="J608" i="9"/>
  <c r="K608" i="9"/>
  <c r="H609" i="9"/>
  <c r="I609" i="9"/>
  <c r="J609" i="9"/>
  <c r="K609" i="9"/>
  <c r="H610" i="9"/>
  <c r="I610" i="9"/>
  <c r="J610" i="9"/>
  <c r="K610" i="9"/>
  <c r="G611" i="9"/>
  <c r="H611" i="9"/>
  <c r="I611" i="9"/>
  <c r="J611" i="9"/>
  <c r="K611" i="9"/>
  <c r="H612" i="9"/>
  <c r="I612" i="9"/>
  <c r="J612" i="9"/>
  <c r="K612" i="9"/>
  <c r="H613" i="9"/>
  <c r="I613" i="9"/>
  <c r="J613" i="9"/>
  <c r="K613" i="9"/>
  <c r="G614" i="9"/>
  <c r="H614" i="9"/>
  <c r="I614" i="9"/>
  <c r="J614" i="9"/>
  <c r="K614" i="9"/>
  <c r="H615" i="9"/>
  <c r="I615" i="9"/>
  <c r="J615" i="9"/>
  <c r="K615" i="9"/>
  <c r="H616" i="9"/>
  <c r="I616" i="9"/>
  <c r="J616" i="9"/>
  <c r="K616" i="9"/>
  <c r="G617" i="9"/>
  <c r="H617" i="9"/>
  <c r="I617" i="9"/>
  <c r="J617" i="9"/>
  <c r="K617" i="9"/>
  <c r="H618" i="9"/>
  <c r="I618" i="9"/>
  <c r="J618" i="9"/>
  <c r="K618" i="9"/>
  <c r="H619" i="9"/>
  <c r="I619" i="9"/>
  <c r="J619" i="9"/>
  <c r="K619" i="9"/>
  <c r="G620" i="9"/>
  <c r="H620" i="9"/>
  <c r="I620" i="9"/>
  <c r="J620" i="9"/>
  <c r="K620" i="9"/>
  <c r="H621" i="9"/>
  <c r="I621" i="9"/>
  <c r="J621" i="9"/>
  <c r="K621" i="9"/>
  <c r="H622" i="9"/>
  <c r="I622" i="9"/>
  <c r="J622" i="9"/>
  <c r="K622" i="9"/>
  <c r="A383" i="9"/>
  <c r="A384" i="9"/>
  <c r="A385" i="9"/>
  <c r="A185" i="9"/>
  <c r="A186" i="9"/>
  <c r="A187" i="9"/>
  <c r="A389" i="9"/>
  <c r="A390" i="9"/>
  <c r="A391" i="9"/>
  <c r="A443" i="9"/>
  <c r="A444" i="9"/>
  <c r="A445" i="9"/>
  <c r="A278" i="9"/>
  <c r="A279" i="9"/>
  <c r="A280" i="9"/>
  <c r="A554" i="9"/>
  <c r="A555" i="9"/>
  <c r="A556" i="9"/>
  <c r="A188" i="9"/>
  <c r="A189" i="9"/>
  <c r="A190" i="9"/>
  <c r="A461" i="9"/>
  <c r="A462" i="9"/>
  <c r="A463" i="9"/>
  <c r="A563" i="9"/>
  <c r="A564" i="9"/>
  <c r="A565" i="9"/>
  <c r="A377" i="9"/>
  <c r="A378" i="9"/>
  <c r="A379" i="9"/>
  <c r="A200" i="9"/>
  <c r="A201" i="9"/>
  <c r="A202" i="9"/>
  <c r="A464" i="9"/>
  <c r="A465" i="9"/>
  <c r="A466" i="9"/>
  <c r="A314" i="9"/>
  <c r="A315" i="9"/>
  <c r="A316" i="9"/>
  <c r="A317" i="9"/>
  <c r="A318" i="9"/>
  <c r="A319" i="9"/>
  <c r="A269" i="9"/>
  <c r="A270" i="9"/>
  <c r="A271" i="9"/>
  <c r="A419" i="9"/>
  <c r="A420" i="9"/>
  <c r="A421" i="9"/>
  <c r="A230" i="9"/>
  <c r="A231" i="9"/>
  <c r="A232" i="9"/>
  <c r="A446" i="9"/>
  <c r="A447" i="9"/>
  <c r="A448" i="9"/>
  <c r="A137" i="9"/>
  <c r="A138" i="9"/>
  <c r="A139" i="9"/>
  <c r="A281" i="9"/>
  <c r="A282" i="9"/>
  <c r="A283" i="9"/>
  <c r="A560" i="9"/>
  <c r="A561" i="9"/>
  <c r="A562" i="9"/>
  <c r="A164" i="9"/>
  <c r="A165" i="9"/>
  <c r="A166" i="9"/>
  <c r="A431" i="9"/>
  <c r="A432" i="9"/>
  <c r="A433" i="9"/>
  <c r="A221" i="9"/>
  <c r="A222" i="9"/>
  <c r="A223" i="9"/>
  <c r="A134" i="9"/>
  <c r="A135" i="9"/>
  <c r="A136" i="9"/>
  <c r="A260" i="9"/>
  <c r="A261" i="9"/>
  <c r="A262" i="9"/>
  <c r="A580" i="9"/>
  <c r="A579" i="9"/>
  <c r="A578" i="9"/>
  <c r="I126" i="10"/>
  <c r="H126" i="10"/>
  <c r="G126" i="10"/>
  <c r="F126" i="10"/>
  <c r="E126" i="10"/>
  <c r="D126" i="10"/>
  <c r="C126" i="10"/>
  <c r="K484" i="9"/>
  <c r="J484" i="9"/>
  <c r="I484" i="9"/>
  <c r="H484" i="9"/>
  <c r="A484" i="9"/>
  <c r="K483" i="9"/>
  <c r="J483" i="9"/>
  <c r="I483" i="9"/>
  <c r="H483" i="9"/>
  <c r="A483" i="9"/>
  <c r="K482" i="9"/>
  <c r="J482" i="9"/>
  <c r="H482" i="9"/>
  <c r="I482" i="9" s="1"/>
  <c r="G482" i="9"/>
  <c r="A482" i="9"/>
  <c r="I129" i="10"/>
  <c r="I128" i="10"/>
  <c r="I234" i="10"/>
  <c r="I240" i="10"/>
  <c r="I239" i="10"/>
  <c r="I174" i="10"/>
  <c r="H174" i="10"/>
  <c r="G174" i="10"/>
  <c r="F174" i="10"/>
  <c r="E174" i="10"/>
  <c r="D174" i="10"/>
  <c r="C174" i="10"/>
  <c r="I168" i="10"/>
  <c r="H168" i="10"/>
  <c r="G168" i="10"/>
  <c r="F168" i="10"/>
  <c r="E168" i="10"/>
  <c r="D168" i="10"/>
  <c r="C168" i="10"/>
  <c r="I167" i="10"/>
  <c r="H167" i="10"/>
  <c r="G167" i="10"/>
  <c r="F167" i="10"/>
  <c r="E167" i="10"/>
  <c r="D167" i="10"/>
  <c r="C167" i="10"/>
  <c r="I143" i="10"/>
  <c r="H143" i="10"/>
  <c r="G143" i="10"/>
  <c r="F143" i="10"/>
  <c r="E143" i="10"/>
  <c r="D143" i="10"/>
  <c r="C143" i="10"/>
  <c r="C136" i="10"/>
  <c r="C133" i="10"/>
  <c r="I122" i="10"/>
  <c r="H122" i="10"/>
  <c r="G122" i="10"/>
  <c r="F122" i="10"/>
  <c r="E122" i="10"/>
  <c r="D122" i="10"/>
  <c r="C122" i="10"/>
  <c r="C112" i="10"/>
  <c r="D156" i="10"/>
  <c r="D155" i="10"/>
  <c r="D154" i="10"/>
  <c r="D257" i="10"/>
  <c r="H129" i="10"/>
  <c r="G129" i="10"/>
  <c r="F129" i="10"/>
  <c r="E129" i="10"/>
  <c r="D129" i="10"/>
  <c r="C129" i="10"/>
  <c r="C128" i="10"/>
  <c r="C56" i="10"/>
  <c r="D56" i="10"/>
  <c r="E56" i="10"/>
  <c r="F56" i="10"/>
  <c r="G56" i="10"/>
  <c r="H56" i="10"/>
  <c r="I56" i="10"/>
  <c r="C58" i="10"/>
  <c r="D58" i="10"/>
  <c r="E58" i="10"/>
  <c r="F58" i="10"/>
  <c r="G58" i="10"/>
  <c r="H58" i="10"/>
  <c r="I58" i="10"/>
  <c r="C59" i="10"/>
  <c r="D59" i="10"/>
  <c r="E59" i="10"/>
  <c r="F59" i="10"/>
  <c r="G59" i="10"/>
  <c r="H59" i="10"/>
  <c r="I59" i="10"/>
  <c r="C60" i="10"/>
  <c r="D60" i="10"/>
  <c r="E60" i="10"/>
  <c r="F60" i="10"/>
  <c r="G60" i="10"/>
  <c r="H60" i="10"/>
  <c r="I60" i="10"/>
  <c r="C61" i="10"/>
  <c r="D61" i="10"/>
  <c r="E61" i="10"/>
  <c r="F61" i="10"/>
  <c r="G61" i="10"/>
  <c r="H61" i="10"/>
  <c r="I61" i="10"/>
  <c r="C62" i="10"/>
  <c r="D62" i="10"/>
  <c r="E62" i="10"/>
  <c r="F62" i="10"/>
  <c r="G62" i="10"/>
  <c r="H62" i="10"/>
  <c r="I62" i="10"/>
  <c r="C63" i="10"/>
  <c r="D63" i="10"/>
  <c r="E63" i="10"/>
  <c r="F63" i="10"/>
  <c r="G63" i="10"/>
  <c r="H63" i="10"/>
  <c r="I63" i="10"/>
  <c r="C64" i="10"/>
  <c r="D64" i="10"/>
  <c r="E64" i="10"/>
  <c r="F64" i="10"/>
  <c r="G64" i="10"/>
  <c r="H64" i="10"/>
  <c r="I64" i="10"/>
  <c r="C65" i="10"/>
  <c r="D65" i="10"/>
  <c r="E65" i="10"/>
  <c r="F65" i="10"/>
  <c r="G65" i="10"/>
  <c r="H65" i="10"/>
  <c r="I65" i="10"/>
  <c r="C66" i="10"/>
  <c r="D66" i="10"/>
  <c r="E66" i="10"/>
  <c r="F66" i="10"/>
  <c r="G66" i="10"/>
  <c r="H66" i="10"/>
  <c r="I66" i="10"/>
  <c r="C68" i="10"/>
  <c r="D68" i="10"/>
  <c r="E68" i="10"/>
  <c r="F68" i="10"/>
  <c r="G68" i="10"/>
  <c r="H68" i="10"/>
  <c r="I68" i="10"/>
  <c r="C69" i="10"/>
  <c r="D69" i="10"/>
  <c r="E69" i="10"/>
  <c r="F69" i="10"/>
  <c r="G69" i="10"/>
  <c r="H69" i="10"/>
  <c r="I69" i="10"/>
  <c r="C71" i="10"/>
  <c r="D71" i="10"/>
  <c r="E71" i="10"/>
  <c r="F71" i="10"/>
  <c r="G71" i="10"/>
  <c r="H71" i="10"/>
  <c r="I71" i="10"/>
  <c r="C72" i="10"/>
  <c r="D72" i="10"/>
  <c r="E72" i="10"/>
  <c r="F72" i="10"/>
  <c r="G72" i="10"/>
  <c r="H72" i="10"/>
  <c r="I72" i="10"/>
  <c r="C74" i="10"/>
  <c r="D74" i="10"/>
  <c r="E74" i="10"/>
  <c r="F74" i="10"/>
  <c r="G74" i="10"/>
  <c r="H74" i="10"/>
  <c r="I74" i="10"/>
  <c r="C78" i="10"/>
  <c r="D78" i="10"/>
  <c r="E78" i="10"/>
  <c r="F78" i="10"/>
  <c r="G78" i="10"/>
  <c r="H78" i="10"/>
  <c r="I78" i="10"/>
  <c r="C79" i="10"/>
  <c r="D79" i="10"/>
  <c r="E79" i="10"/>
  <c r="F79" i="10"/>
  <c r="G79" i="10"/>
  <c r="H79" i="10"/>
  <c r="I79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M494" i="9" s="1"/>
  <c r="E90" i="10"/>
  <c r="F90" i="10"/>
  <c r="G90" i="10"/>
  <c r="H90" i="10"/>
  <c r="I90" i="10"/>
  <c r="C96" i="10"/>
  <c r="D96" i="10"/>
  <c r="E96" i="10"/>
  <c r="N578" i="9" s="1"/>
  <c r="F96" i="10"/>
  <c r="G96" i="10"/>
  <c r="P500" i="9" s="1"/>
  <c r="H96" i="10"/>
  <c r="I96" i="10"/>
  <c r="C97" i="10"/>
  <c r="D97" i="10"/>
  <c r="E97" i="10"/>
  <c r="F97" i="10"/>
  <c r="G97" i="10"/>
  <c r="H97" i="10"/>
  <c r="I97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7" i="10"/>
  <c r="L557" i="9" s="1"/>
  <c r="D107" i="10"/>
  <c r="M560" i="9" s="1"/>
  <c r="E107" i="10"/>
  <c r="N557" i="9" s="1"/>
  <c r="F107" i="10"/>
  <c r="O560" i="9" s="1"/>
  <c r="G107" i="10"/>
  <c r="P557" i="9" s="1"/>
  <c r="H107" i="10"/>
  <c r="Q560" i="9" s="1"/>
  <c r="I107" i="10"/>
  <c r="R557" i="9" s="1"/>
  <c r="C108" i="10"/>
  <c r="L230" i="9" s="1"/>
  <c r="D108" i="10"/>
  <c r="E108" i="10"/>
  <c r="N221" i="9" s="1"/>
  <c r="F108" i="10"/>
  <c r="G108" i="10"/>
  <c r="H108" i="10"/>
  <c r="I108" i="10"/>
  <c r="R221" i="9" s="1"/>
  <c r="C109" i="10"/>
  <c r="D109" i="10"/>
  <c r="E109" i="10"/>
  <c r="F109" i="10"/>
  <c r="G109" i="10"/>
  <c r="H109" i="10"/>
  <c r="I109" i="10"/>
  <c r="D110" i="10"/>
  <c r="E110" i="10"/>
  <c r="F110" i="10"/>
  <c r="G110" i="10"/>
  <c r="H110" i="10"/>
  <c r="I110" i="10"/>
  <c r="C111" i="10"/>
  <c r="D111" i="10"/>
  <c r="E111" i="10"/>
  <c r="F111" i="10"/>
  <c r="G111" i="10"/>
  <c r="H111" i="10"/>
  <c r="I111" i="10"/>
  <c r="D112" i="10"/>
  <c r="E112" i="10"/>
  <c r="F112" i="10"/>
  <c r="G112" i="10"/>
  <c r="H112" i="10"/>
  <c r="I112" i="10"/>
  <c r="C113" i="10"/>
  <c r="D113" i="10"/>
  <c r="E113" i="10"/>
  <c r="F113" i="10"/>
  <c r="G113" i="10"/>
  <c r="H113" i="10"/>
  <c r="I113" i="10"/>
  <c r="C114" i="10"/>
  <c r="D114" i="10"/>
  <c r="E114" i="10"/>
  <c r="F114" i="10"/>
  <c r="G114" i="10"/>
  <c r="H114" i="10"/>
  <c r="I114" i="10"/>
  <c r="C116" i="10"/>
  <c r="D116" i="10"/>
  <c r="E116" i="10"/>
  <c r="F116" i="10"/>
  <c r="G116" i="10"/>
  <c r="H116" i="10"/>
  <c r="I116" i="10"/>
  <c r="C118" i="10"/>
  <c r="L389" i="9" s="1"/>
  <c r="D118" i="10"/>
  <c r="E118" i="10"/>
  <c r="F118" i="10"/>
  <c r="G118" i="10"/>
  <c r="H118" i="10"/>
  <c r="I118" i="10"/>
  <c r="C119" i="10"/>
  <c r="D119" i="10"/>
  <c r="E119" i="10"/>
  <c r="F119" i="10"/>
  <c r="G119" i="10"/>
  <c r="H119" i="10"/>
  <c r="I119" i="10"/>
  <c r="C121" i="10"/>
  <c r="D121" i="10"/>
  <c r="E121" i="10"/>
  <c r="F121" i="10"/>
  <c r="G121" i="10"/>
  <c r="H121" i="10"/>
  <c r="I121" i="10"/>
  <c r="C124" i="10"/>
  <c r="D124" i="10"/>
  <c r="E124" i="10"/>
  <c r="F124" i="10"/>
  <c r="G124" i="10"/>
  <c r="H124" i="10"/>
  <c r="I124" i="10"/>
  <c r="C127" i="10"/>
  <c r="D127" i="10"/>
  <c r="E127" i="10"/>
  <c r="F127" i="10"/>
  <c r="G127" i="10"/>
  <c r="H127" i="10"/>
  <c r="I127" i="10"/>
  <c r="D128" i="10"/>
  <c r="E128" i="10"/>
  <c r="F128" i="10"/>
  <c r="G128" i="10"/>
  <c r="P596" i="9" s="1"/>
  <c r="H128" i="10"/>
  <c r="Q596" i="9" s="1"/>
  <c r="D133" i="10"/>
  <c r="E133" i="10"/>
  <c r="F133" i="10"/>
  <c r="G133" i="10"/>
  <c r="H133" i="10"/>
  <c r="I133" i="10"/>
  <c r="C134" i="10"/>
  <c r="L188" i="9" s="1"/>
  <c r="D134" i="10"/>
  <c r="E134" i="10"/>
  <c r="F134" i="10"/>
  <c r="G134" i="10"/>
  <c r="H134" i="10"/>
  <c r="I134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F138" i="10"/>
  <c r="G138" i="10"/>
  <c r="H138" i="10"/>
  <c r="I138" i="10"/>
  <c r="C139" i="10"/>
  <c r="D139" i="10"/>
  <c r="E139" i="10"/>
  <c r="F139" i="10"/>
  <c r="G139" i="10"/>
  <c r="H139" i="10"/>
  <c r="I139" i="10"/>
  <c r="C141" i="10"/>
  <c r="D141" i="10"/>
  <c r="E141" i="10"/>
  <c r="N563" i="9" s="1"/>
  <c r="F141" i="10"/>
  <c r="G141" i="10"/>
  <c r="H141" i="10"/>
  <c r="I141" i="10"/>
  <c r="C142" i="10"/>
  <c r="D142" i="10"/>
  <c r="E142" i="10"/>
  <c r="F142" i="10"/>
  <c r="G142" i="10"/>
  <c r="H142" i="10"/>
  <c r="I142" i="10"/>
  <c r="C145" i="10"/>
  <c r="D145" i="10"/>
  <c r="E145" i="10"/>
  <c r="F145" i="10"/>
  <c r="G145" i="10"/>
  <c r="H145" i="10"/>
  <c r="I145" i="10"/>
  <c r="C146" i="10"/>
  <c r="D146" i="10"/>
  <c r="E146" i="10"/>
  <c r="F146" i="10"/>
  <c r="G146" i="10"/>
  <c r="H146" i="10"/>
  <c r="Q368" i="9" s="1"/>
  <c r="I146" i="10"/>
  <c r="C147" i="10"/>
  <c r="L368" i="9" s="1"/>
  <c r="D147" i="10"/>
  <c r="E147" i="10"/>
  <c r="F147" i="10"/>
  <c r="G147" i="10"/>
  <c r="H147" i="10"/>
  <c r="I147" i="10"/>
  <c r="R431" i="9" s="1"/>
  <c r="C148" i="10"/>
  <c r="D148" i="10"/>
  <c r="E148" i="10"/>
  <c r="F148" i="10"/>
  <c r="G148" i="10"/>
  <c r="H148" i="10"/>
  <c r="I148" i="10"/>
  <c r="C150" i="10"/>
  <c r="D150" i="10"/>
  <c r="E150" i="10"/>
  <c r="F150" i="10"/>
  <c r="G150" i="10"/>
  <c r="H150" i="10"/>
  <c r="I150" i="10"/>
  <c r="C152" i="10"/>
  <c r="D152" i="10"/>
  <c r="E152" i="10"/>
  <c r="F152" i="10"/>
  <c r="G152" i="10"/>
  <c r="H152" i="10"/>
  <c r="I152" i="10"/>
  <c r="C153" i="10"/>
  <c r="D153" i="10"/>
  <c r="E153" i="10"/>
  <c r="F153" i="10"/>
  <c r="G153" i="10"/>
  <c r="H153" i="10"/>
  <c r="I153" i="10"/>
  <c r="C154" i="10"/>
  <c r="E154" i="10"/>
  <c r="F154" i="10"/>
  <c r="G154" i="10"/>
  <c r="H154" i="10"/>
  <c r="I154" i="10"/>
  <c r="C155" i="10"/>
  <c r="E155" i="10"/>
  <c r="F155" i="10"/>
  <c r="G155" i="10"/>
  <c r="H155" i="10"/>
  <c r="I155" i="10"/>
  <c r="C156" i="10"/>
  <c r="E156" i="10"/>
  <c r="F156" i="10"/>
  <c r="G156" i="10"/>
  <c r="P185" i="9" s="1"/>
  <c r="H156" i="10"/>
  <c r="I156" i="10"/>
  <c r="R317" i="9" s="1"/>
  <c r="C159" i="10"/>
  <c r="D159" i="10"/>
  <c r="E159" i="10"/>
  <c r="F159" i="10"/>
  <c r="G159" i="10"/>
  <c r="H159" i="10"/>
  <c r="I159" i="10"/>
  <c r="C160" i="10"/>
  <c r="D160" i="10"/>
  <c r="E160" i="10"/>
  <c r="F160" i="10"/>
  <c r="G160" i="10"/>
  <c r="H160" i="10"/>
  <c r="I160" i="10"/>
  <c r="C161" i="10"/>
  <c r="D161" i="10"/>
  <c r="E161" i="10"/>
  <c r="F161" i="10"/>
  <c r="G161" i="10"/>
  <c r="H161" i="10"/>
  <c r="I161" i="10"/>
  <c r="C162" i="10"/>
  <c r="D162" i="10"/>
  <c r="E162" i="10"/>
  <c r="F162" i="10"/>
  <c r="G162" i="10"/>
  <c r="H162" i="10"/>
  <c r="I162" i="10"/>
  <c r="C164" i="10"/>
  <c r="D164" i="10"/>
  <c r="E164" i="10"/>
  <c r="F164" i="10"/>
  <c r="G164" i="10"/>
  <c r="H164" i="10"/>
  <c r="I164" i="10"/>
  <c r="C165" i="10"/>
  <c r="D165" i="10"/>
  <c r="E165" i="10"/>
  <c r="F165" i="10"/>
  <c r="G165" i="10"/>
  <c r="H165" i="10"/>
  <c r="I165" i="10"/>
  <c r="C170" i="10"/>
  <c r="L278" i="9" s="1"/>
  <c r="D170" i="10"/>
  <c r="M278" i="9" s="1"/>
  <c r="E170" i="10"/>
  <c r="N278" i="9" s="1"/>
  <c r="F170" i="10"/>
  <c r="O278" i="9" s="1"/>
  <c r="G170" i="10"/>
  <c r="P278" i="9" s="1"/>
  <c r="H170" i="10"/>
  <c r="Q278" i="9" s="1"/>
  <c r="I170" i="10"/>
  <c r="R278" i="9" s="1"/>
  <c r="C172" i="10"/>
  <c r="L176" i="9" s="1"/>
  <c r="D172" i="10"/>
  <c r="E172" i="10"/>
  <c r="F172" i="10"/>
  <c r="G172" i="10"/>
  <c r="H172" i="10"/>
  <c r="I172" i="10"/>
  <c r="R464" i="9" s="1"/>
  <c r="C176" i="10"/>
  <c r="D176" i="10"/>
  <c r="E176" i="10"/>
  <c r="F176" i="10"/>
  <c r="G176" i="10"/>
  <c r="H176" i="10"/>
  <c r="I176" i="10"/>
  <c r="C181" i="10"/>
  <c r="D181" i="10"/>
  <c r="E181" i="10"/>
  <c r="F181" i="10"/>
  <c r="G181" i="10"/>
  <c r="H181" i="10"/>
  <c r="I181" i="10"/>
  <c r="C182" i="10"/>
  <c r="D182" i="10"/>
  <c r="E182" i="10"/>
  <c r="F182" i="10"/>
  <c r="G182" i="10"/>
  <c r="H182" i="10"/>
  <c r="I182" i="10"/>
  <c r="C183" i="10"/>
  <c r="D183" i="10"/>
  <c r="E183" i="10"/>
  <c r="F183" i="10"/>
  <c r="G183" i="10"/>
  <c r="H183" i="10"/>
  <c r="I183" i="10"/>
  <c r="C185" i="10"/>
  <c r="D185" i="10"/>
  <c r="E185" i="10"/>
  <c r="F185" i="10"/>
  <c r="G185" i="10"/>
  <c r="H185" i="10"/>
  <c r="I185" i="10"/>
  <c r="C187" i="10"/>
  <c r="D187" i="10"/>
  <c r="E187" i="10"/>
  <c r="F187" i="10"/>
  <c r="G187" i="10"/>
  <c r="H187" i="10"/>
  <c r="I187" i="10"/>
  <c r="C190" i="10"/>
  <c r="D190" i="10"/>
  <c r="E190" i="10"/>
  <c r="F190" i="10"/>
  <c r="G190" i="10"/>
  <c r="H190" i="10"/>
  <c r="I190" i="10"/>
  <c r="C191" i="10"/>
  <c r="D191" i="10"/>
  <c r="E191" i="10"/>
  <c r="F191" i="10"/>
  <c r="G191" i="10"/>
  <c r="H191" i="10"/>
  <c r="I191" i="10"/>
  <c r="C192" i="10"/>
  <c r="D192" i="10"/>
  <c r="E192" i="10"/>
  <c r="F192" i="10"/>
  <c r="G192" i="10"/>
  <c r="H192" i="10"/>
  <c r="I192" i="10"/>
  <c r="C193" i="10"/>
  <c r="D193" i="10"/>
  <c r="E193" i="10"/>
  <c r="F193" i="10"/>
  <c r="G193" i="10"/>
  <c r="H193" i="10"/>
  <c r="I193" i="10"/>
  <c r="C194" i="10"/>
  <c r="D194" i="10"/>
  <c r="E194" i="10"/>
  <c r="F194" i="10"/>
  <c r="G194" i="10"/>
  <c r="H194" i="10"/>
  <c r="I194" i="10"/>
  <c r="C196" i="10"/>
  <c r="D196" i="10"/>
  <c r="E196" i="10"/>
  <c r="F196" i="10"/>
  <c r="G196" i="10"/>
  <c r="H196" i="10"/>
  <c r="I196" i="10"/>
  <c r="R224" i="9" s="1"/>
  <c r="C197" i="10"/>
  <c r="D197" i="10"/>
  <c r="E197" i="10"/>
  <c r="F197" i="10"/>
  <c r="G197" i="10"/>
  <c r="H197" i="10"/>
  <c r="I197" i="10"/>
  <c r="C198" i="10"/>
  <c r="D198" i="10"/>
  <c r="E198" i="10"/>
  <c r="F198" i="10"/>
  <c r="G198" i="10"/>
  <c r="H198" i="10"/>
  <c r="I198" i="10"/>
  <c r="C199" i="10"/>
  <c r="L350" i="9" s="1"/>
  <c r="D199" i="10"/>
  <c r="M350" i="9" s="1"/>
  <c r="E199" i="10"/>
  <c r="N350" i="9" s="1"/>
  <c r="F199" i="10"/>
  <c r="O350" i="9" s="1"/>
  <c r="G199" i="10"/>
  <c r="P350" i="9" s="1"/>
  <c r="H199" i="10"/>
  <c r="Q350" i="9" s="1"/>
  <c r="I199" i="10"/>
  <c r="R350" i="9" s="1"/>
  <c r="C201" i="10"/>
  <c r="D201" i="10"/>
  <c r="E201" i="10"/>
  <c r="F201" i="10"/>
  <c r="G201" i="10"/>
  <c r="H201" i="10"/>
  <c r="I201" i="10"/>
  <c r="C202" i="10"/>
  <c r="D202" i="10"/>
  <c r="E202" i="10"/>
  <c r="F202" i="10"/>
  <c r="G202" i="10"/>
  <c r="H202" i="10"/>
  <c r="I202" i="10"/>
  <c r="C203" i="10"/>
  <c r="D203" i="10"/>
  <c r="E203" i="10"/>
  <c r="F203" i="10"/>
  <c r="G203" i="10"/>
  <c r="H203" i="10"/>
  <c r="I203" i="10"/>
  <c r="C204" i="10"/>
  <c r="L296" i="9" s="1"/>
  <c r="D204" i="10"/>
  <c r="M296" i="9" s="1"/>
  <c r="E204" i="10"/>
  <c r="N296" i="9" s="1"/>
  <c r="F204" i="10"/>
  <c r="O296" i="9" s="1"/>
  <c r="G204" i="10"/>
  <c r="P296" i="9" s="1"/>
  <c r="H204" i="10"/>
  <c r="Q296" i="9" s="1"/>
  <c r="I204" i="10"/>
  <c r="R296" i="9" s="1"/>
  <c r="C205" i="10"/>
  <c r="D205" i="10"/>
  <c r="E205" i="10"/>
  <c r="F205" i="10"/>
  <c r="G205" i="10"/>
  <c r="H205" i="10"/>
  <c r="I205" i="10"/>
  <c r="C206" i="10"/>
  <c r="D206" i="10"/>
  <c r="E206" i="10"/>
  <c r="F206" i="10"/>
  <c r="G206" i="10"/>
  <c r="H206" i="10"/>
  <c r="I206" i="10"/>
  <c r="C207" i="10"/>
  <c r="D207" i="10"/>
  <c r="E207" i="10"/>
  <c r="F207" i="10"/>
  <c r="G207" i="10"/>
  <c r="H207" i="10"/>
  <c r="I207" i="10"/>
  <c r="C208" i="10"/>
  <c r="D208" i="10"/>
  <c r="E208" i="10"/>
  <c r="F208" i="10"/>
  <c r="G208" i="10"/>
  <c r="H208" i="10"/>
  <c r="I208" i="10"/>
  <c r="C210" i="10"/>
  <c r="D210" i="10"/>
  <c r="E210" i="10"/>
  <c r="F210" i="10"/>
  <c r="G210" i="10"/>
  <c r="P374" i="9" s="1"/>
  <c r="H210" i="10"/>
  <c r="I210" i="10"/>
  <c r="C211" i="10"/>
  <c r="D211" i="10"/>
  <c r="M224" i="9" s="1"/>
  <c r="E211" i="10"/>
  <c r="F211" i="10"/>
  <c r="O389" i="9" s="1"/>
  <c r="G211" i="10"/>
  <c r="H211" i="10"/>
  <c r="Q386" i="9" s="1"/>
  <c r="I211" i="10"/>
  <c r="C212" i="10"/>
  <c r="D212" i="10"/>
  <c r="E212" i="10"/>
  <c r="F212" i="10"/>
  <c r="G212" i="10"/>
  <c r="H212" i="10"/>
  <c r="I212" i="10"/>
  <c r="C213" i="10"/>
  <c r="D213" i="10"/>
  <c r="E213" i="10"/>
  <c r="F213" i="10"/>
  <c r="G213" i="10"/>
  <c r="H213" i="10"/>
  <c r="I213" i="10"/>
  <c r="C214" i="10"/>
  <c r="D214" i="10"/>
  <c r="E214" i="10"/>
  <c r="F214" i="10"/>
  <c r="G214" i="10"/>
  <c r="H214" i="10"/>
  <c r="I214" i="10"/>
  <c r="C215" i="10"/>
  <c r="D215" i="10"/>
  <c r="E215" i="10"/>
  <c r="F215" i="10"/>
  <c r="G215" i="10"/>
  <c r="H215" i="10"/>
  <c r="I215" i="10"/>
  <c r="C216" i="10"/>
  <c r="D216" i="10"/>
  <c r="E216" i="10"/>
  <c r="F216" i="10"/>
  <c r="G216" i="10"/>
  <c r="H216" i="10"/>
  <c r="I216" i="10"/>
  <c r="C217" i="10"/>
  <c r="D217" i="10"/>
  <c r="M200" i="9" s="1"/>
  <c r="E217" i="10"/>
  <c r="F217" i="10"/>
  <c r="O200" i="9" s="1"/>
  <c r="G217" i="10"/>
  <c r="H217" i="10"/>
  <c r="Q200" i="9" s="1"/>
  <c r="I217" i="10"/>
  <c r="C218" i="10"/>
  <c r="L314" i="9" s="1"/>
  <c r="D218" i="10"/>
  <c r="M311" i="9" s="1"/>
  <c r="E218" i="10"/>
  <c r="F218" i="10"/>
  <c r="G218" i="10"/>
  <c r="H218" i="10"/>
  <c r="I218" i="10"/>
  <c r="C219" i="10"/>
  <c r="D219" i="10"/>
  <c r="E219" i="10"/>
  <c r="F219" i="10"/>
  <c r="G219" i="10"/>
  <c r="H219" i="10"/>
  <c r="I219" i="10"/>
  <c r="C220" i="10"/>
  <c r="D220" i="10"/>
  <c r="E220" i="10"/>
  <c r="F220" i="10"/>
  <c r="G220" i="10"/>
  <c r="H220" i="10"/>
  <c r="I220" i="10"/>
  <c r="C230" i="10"/>
  <c r="D230" i="10"/>
  <c r="E230" i="10"/>
  <c r="F230" i="10"/>
  <c r="G230" i="10"/>
  <c r="H230" i="10"/>
  <c r="I230" i="10"/>
  <c r="C231" i="10"/>
  <c r="D231" i="10"/>
  <c r="E231" i="10"/>
  <c r="F231" i="10"/>
  <c r="G231" i="10"/>
  <c r="H231" i="10"/>
  <c r="I231" i="10"/>
  <c r="C232" i="10"/>
  <c r="D232" i="10"/>
  <c r="E232" i="10"/>
  <c r="F232" i="10"/>
  <c r="O566" i="9" s="1"/>
  <c r="G232" i="10"/>
  <c r="H232" i="10"/>
  <c r="I232" i="10"/>
  <c r="C233" i="10"/>
  <c r="L500" i="9" s="1"/>
  <c r="D233" i="10"/>
  <c r="E233" i="10"/>
  <c r="N554" i="9" s="1"/>
  <c r="F233" i="10"/>
  <c r="O551" i="9" s="1"/>
  <c r="G233" i="10"/>
  <c r="P551" i="9" s="1"/>
  <c r="H233" i="10"/>
  <c r="I233" i="10"/>
  <c r="R554" i="9" s="1"/>
  <c r="C234" i="10"/>
  <c r="D234" i="10"/>
  <c r="E234" i="10"/>
  <c r="F234" i="10"/>
  <c r="G234" i="10"/>
  <c r="H234" i="10"/>
  <c r="C238" i="10"/>
  <c r="D238" i="10"/>
  <c r="E238" i="10"/>
  <c r="F238" i="10"/>
  <c r="G238" i="10"/>
  <c r="H238" i="10"/>
  <c r="I238" i="10"/>
  <c r="C239" i="10"/>
  <c r="D239" i="10"/>
  <c r="E239" i="10"/>
  <c r="F239" i="10"/>
  <c r="G239" i="10"/>
  <c r="H239" i="10"/>
  <c r="C240" i="10"/>
  <c r="D240" i="10"/>
  <c r="E240" i="10"/>
  <c r="F240" i="10"/>
  <c r="G240" i="10"/>
  <c r="H240" i="10"/>
  <c r="C257" i="10"/>
  <c r="E257" i="10"/>
  <c r="F257" i="10"/>
  <c r="G257" i="10"/>
  <c r="H257" i="10"/>
  <c r="I257" i="10"/>
  <c r="I55" i="10"/>
  <c r="H55" i="10"/>
  <c r="C55" i="10"/>
  <c r="D55" i="10"/>
  <c r="E55" i="10"/>
  <c r="F55" i="10"/>
  <c r="G55" i="10"/>
  <c r="K268" i="9"/>
  <c r="J268" i="9"/>
  <c r="I268" i="9"/>
  <c r="H268" i="9"/>
  <c r="A268" i="9"/>
  <c r="K267" i="9"/>
  <c r="J267" i="9"/>
  <c r="H267" i="9"/>
  <c r="I267" i="9"/>
  <c r="A267" i="9"/>
  <c r="K266" i="9"/>
  <c r="J266" i="9"/>
  <c r="H266" i="9"/>
  <c r="G266" i="9"/>
  <c r="I266" i="9"/>
  <c r="A266" i="9"/>
  <c r="K217" i="9"/>
  <c r="J217" i="9"/>
  <c r="H217" i="9"/>
  <c r="I217" i="9" s="1"/>
  <c r="A217" i="9"/>
  <c r="K216" i="9"/>
  <c r="J216" i="9"/>
  <c r="I216" i="9"/>
  <c r="H216" i="9"/>
  <c r="A216" i="9"/>
  <c r="K215" i="9"/>
  <c r="J215" i="9"/>
  <c r="H215" i="9"/>
  <c r="I215" i="9" s="1"/>
  <c r="G215" i="9"/>
  <c r="A215" i="9"/>
  <c r="I354" i="9"/>
  <c r="K355" i="9"/>
  <c r="J355" i="9"/>
  <c r="I355" i="9"/>
  <c r="N353" i="9" s="1"/>
  <c r="H355" i="9"/>
  <c r="A355" i="9"/>
  <c r="K354" i="9"/>
  <c r="J354" i="9"/>
  <c r="H354" i="9"/>
  <c r="A354" i="9"/>
  <c r="K353" i="9"/>
  <c r="J353" i="9"/>
  <c r="H353" i="9"/>
  <c r="G353" i="9"/>
  <c r="A353" i="9"/>
  <c r="I485" i="9"/>
  <c r="L485" i="9" s="1"/>
  <c r="K487" i="9"/>
  <c r="J487" i="9"/>
  <c r="I487" i="9"/>
  <c r="H487" i="9"/>
  <c r="A487" i="9"/>
  <c r="K486" i="9"/>
  <c r="J486" i="9"/>
  <c r="H486" i="9"/>
  <c r="I486" i="9"/>
  <c r="A486" i="9"/>
  <c r="K485" i="9"/>
  <c r="J485" i="9"/>
  <c r="H485" i="9"/>
  <c r="G485" i="9"/>
  <c r="A485" i="9"/>
  <c r="K124" i="9"/>
  <c r="J124" i="9"/>
  <c r="I124" i="9"/>
  <c r="H124" i="9"/>
  <c r="A124" i="9"/>
  <c r="K123" i="9"/>
  <c r="J123" i="9"/>
  <c r="H123" i="9"/>
  <c r="I123" i="9"/>
  <c r="A123" i="9"/>
  <c r="K122" i="9"/>
  <c r="J122" i="9"/>
  <c r="H122" i="9"/>
  <c r="I122" i="9" s="1"/>
  <c r="O122" i="9" s="1"/>
  <c r="G122" i="9"/>
  <c r="A122" i="9"/>
  <c r="I25" i="9"/>
  <c r="K25" i="9"/>
  <c r="J25" i="9"/>
  <c r="H25" i="9"/>
  <c r="A25" i="9"/>
  <c r="K24" i="9"/>
  <c r="J24" i="9"/>
  <c r="H24" i="9"/>
  <c r="I24" i="9" s="1"/>
  <c r="A24" i="9"/>
  <c r="K23" i="9"/>
  <c r="J23" i="9"/>
  <c r="H23" i="9"/>
  <c r="I23" i="9" s="1"/>
  <c r="M23" i="9" s="1"/>
  <c r="G23" i="9"/>
  <c r="A23" i="9"/>
  <c r="K28" i="9"/>
  <c r="J28" i="9"/>
  <c r="I28" i="9"/>
  <c r="H28" i="9"/>
  <c r="A28" i="9"/>
  <c r="K27" i="9"/>
  <c r="J27" i="9"/>
  <c r="I27" i="9"/>
  <c r="H27" i="9"/>
  <c r="A27" i="9"/>
  <c r="K26" i="9"/>
  <c r="J26" i="9"/>
  <c r="H26" i="9"/>
  <c r="G26" i="9"/>
  <c r="A26" i="9"/>
  <c r="K490" i="9"/>
  <c r="J490" i="9"/>
  <c r="I490" i="9"/>
  <c r="H490" i="9"/>
  <c r="A490" i="9"/>
  <c r="K489" i="9"/>
  <c r="J489" i="9"/>
  <c r="I489" i="9"/>
  <c r="H489" i="9"/>
  <c r="A489" i="9"/>
  <c r="K488" i="9"/>
  <c r="J488" i="9"/>
  <c r="H488" i="9"/>
  <c r="I488" i="9" s="1"/>
  <c r="P488" i="9" s="1"/>
  <c r="G488" i="9"/>
  <c r="A488" i="9"/>
  <c r="K88" i="9"/>
  <c r="J88" i="9"/>
  <c r="H88" i="9"/>
  <c r="I88" i="9"/>
  <c r="A88" i="9"/>
  <c r="K87" i="9"/>
  <c r="J87" i="9"/>
  <c r="I87" i="9"/>
  <c r="H87" i="9"/>
  <c r="A87" i="9"/>
  <c r="K86" i="9"/>
  <c r="J86" i="9"/>
  <c r="H86" i="9"/>
  <c r="I86" i="9" s="1"/>
  <c r="G86" i="9"/>
  <c r="A86" i="9"/>
  <c r="K331" i="9"/>
  <c r="J331" i="9"/>
  <c r="I331" i="9"/>
  <c r="H331" i="9"/>
  <c r="A331" i="9"/>
  <c r="K330" i="9"/>
  <c r="J330" i="9"/>
  <c r="I330" i="9"/>
  <c r="H330" i="9"/>
  <c r="A330" i="9"/>
  <c r="K329" i="9"/>
  <c r="J329" i="9"/>
  <c r="H329" i="9"/>
  <c r="I329" i="9"/>
  <c r="G329" i="9"/>
  <c r="A329" i="9"/>
  <c r="K247" i="9"/>
  <c r="J247" i="9"/>
  <c r="I247" i="9"/>
  <c r="H247" i="9"/>
  <c r="A247" i="9"/>
  <c r="K246" i="9"/>
  <c r="J246" i="9"/>
  <c r="I246" i="9"/>
  <c r="H246" i="9"/>
  <c r="A246" i="9"/>
  <c r="J245" i="9"/>
  <c r="K245" i="9" s="1"/>
  <c r="H245" i="9"/>
  <c r="G245" i="9"/>
  <c r="A245" i="9"/>
  <c r="K451" i="9"/>
  <c r="J451" i="9"/>
  <c r="I451" i="9"/>
  <c r="H451" i="9"/>
  <c r="A451" i="9"/>
  <c r="K450" i="9"/>
  <c r="J450" i="9"/>
  <c r="H450" i="9"/>
  <c r="I450" i="9"/>
  <c r="A450" i="9"/>
  <c r="J449" i="9"/>
  <c r="K449" i="9"/>
  <c r="I449" i="9"/>
  <c r="H449" i="9"/>
  <c r="G449" i="9"/>
  <c r="A449" i="9"/>
  <c r="K286" i="9"/>
  <c r="J286" i="9"/>
  <c r="I286" i="9"/>
  <c r="H286" i="9"/>
  <c r="A286" i="9"/>
  <c r="K285" i="9"/>
  <c r="J285" i="9"/>
  <c r="H285" i="9"/>
  <c r="I285" i="9"/>
  <c r="A285" i="9"/>
  <c r="J284" i="9"/>
  <c r="K284" i="9"/>
  <c r="H284" i="9"/>
  <c r="I284" i="9" s="1"/>
  <c r="L284" i="9" s="1"/>
  <c r="G284" i="9"/>
  <c r="A284" i="9"/>
  <c r="J337" i="9"/>
  <c r="K337" i="9"/>
  <c r="I337" i="9"/>
  <c r="H337" i="9"/>
  <c r="A337" i="9"/>
  <c r="J336" i="9"/>
  <c r="K336" i="9"/>
  <c r="I336" i="9"/>
  <c r="H336" i="9"/>
  <c r="A336" i="9"/>
  <c r="J335" i="9"/>
  <c r="K335" i="9"/>
  <c r="H335" i="9"/>
  <c r="I335" i="9" s="1"/>
  <c r="G335" i="9"/>
  <c r="A335" i="9"/>
  <c r="K94" i="9"/>
  <c r="J94" i="9"/>
  <c r="I94" i="9"/>
  <c r="H94" i="9"/>
  <c r="A94" i="9"/>
  <c r="K93" i="9"/>
  <c r="J93" i="9"/>
  <c r="I93" i="9"/>
  <c r="H93" i="9"/>
  <c r="A93" i="9"/>
  <c r="K92" i="9"/>
  <c r="J92" i="9"/>
  <c r="H92" i="9"/>
  <c r="I92" i="9" s="1"/>
  <c r="G92" i="9"/>
  <c r="A92" i="9"/>
  <c r="O494" i="9"/>
  <c r="Q224" i="9"/>
  <c r="M596" i="9"/>
  <c r="L596" i="9"/>
  <c r="R560" i="9"/>
  <c r="P560" i="9"/>
  <c r="N560" i="9"/>
  <c r="L560" i="9"/>
  <c r="Q557" i="9"/>
  <c r="M557" i="9"/>
  <c r="L386" i="9"/>
  <c r="Q182" i="9"/>
  <c r="Q554" i="9"/>
  <c r="M554" i="9"/>
  <c r="N182" i="9"/>
  <c r="P230" i="9"/>
  <c r="M281" i="9"/>
  <c r="Q461" i="9"/>
  <c r="M431" i="9"/>
  <c r="M188" i="9"/>
  <c r="O383" i="9"/>
  <c r="O578" i="9"/>
  <c r="M185" i="9"/>
  <c r="R551" i="9"/>
  <c r="N551" i="9"/>
  <c r="O230" i="9"/>
  <c r="Q257" i="9"/>
  <c r="N176" i="9"/>
  <c r="R185" i="9"/>
  <c r="N185" i="9"/>
  <c r="N431" i="9"/>
  <c r="M368" i="9"/>
  <c r="P389" i="9"/>
  <c r="R383" i="9"/>
  <c r="P200" i="9"/>
  <c r="R578" i="9"/>
  <c r="L482" i="9"/>
  <c r="O482" i="9"/>
  <c r="I26" i="9"/>
  <c r="M26" i="9" s="1"/>
  <c r="N482" i="9"/>
  <c r="Q482" i="9"/>
  <c r="I353" i="9"/>
  <c r="R266" i="9"/>
  <c r="P485" i="9"/>
  <c r="M488" i="9"/>
  <c r="L86" i="9"/>
  <c r="I245" i="9"/>
  <c r="P449" i="9"/>
  <c r="L92" i="9"/>
  <c r="O26" i="9"/>
  <c r="K148" i="9"/>
  <c r="J148" i="9"/>
  <c r="I148" i="9"/>
  <c r="H148" i="9"/>
  <c r="A148" i="9"/>
  <c r="K147" i="9"/>
  <c r="J147" i="9"/>
  <c r="I147" i="9"/>
  <c r="H147" i="9"/>
  <c r="A147" i="9"/>
  <c r="J146" i="9"/>
  <c r="K146" i="9"/>
  <c r="H146" i="9"/>
  <c r="I146" i="9" s="1"/>
  <c r="G146" i="9"/>
  <c r="A146" i="9"/>
  <c r="K292" i="9"/>
  <c r="J292" i="9"/>
  <c r="I292" i="9"/>
  <c r="H292" i="9"/>
  <c r="A292" i="9"/>
  <c r="K291" i="9"/>
  <c r="J291" i="9"/>
  <c r="H291" i="9"/>
  <c r="I291" i="9"/>
  <c r="A291" i="9"/>
  <c r="J290" i="9"/>
  <c r="K290" i="9"/>
  <c r="H290" i="9"/>
  <c r="I290" i="9"/>
  <c r="G290" i="9"/>
  <c r="A290" i="9"/>
  <c r="I11" i="9"/>
  <c r="I8" i="9"/>
  <c r="I48" i="9"/>
  <c r="I540" i="9"/>
  <c r="I546" i="9"/>
  <c r="I360" i="9"/>
  <c r="I63" i="9"/>
  <c r="K13" i="9"/>
  <c r="J13" i="9"/>
  <c r="I13" i="9"/>
  <c r="H13" i="9"/>
  <c r="A13" i="9"/>
  <c r="K12" i="9"/>
  <c r="J12" i="9"/>
  <c r="H12" i="9"/>
  <c r="A12" i="9"/>
  <c r="K11" i="9"/>
  <c r="J11" i="9"/>
  <c r="H11" i="9"/>
  <c r="G11" i="9"/>
  <c r="A11" i="9"/>
  <c r="K238" i="9"/>
  <c r="J238" i="9"/>
  <c r="I238" i="9"/>
  <c r="H238" i="9"/>
  <c r="A238" i="9"/>
  <c r="J237" i="9"/>
  <c r="K237" i="9" s="1"/>
  <c r="I237" i="9"/>
  <c r="H237" i="9"/>
  <c r="A237" i="9"/>
  <c r="K236" i="9"/>
  <c r="J236" i="9"/>
  <c r="H236" i="9"/>
  <c r="I236" i="9" s="1"/>
  <c r="G236" i="9"/>
  <c r="A236" i="9"/>
  <c r="K208" i="9"/>
  <c r="J208" i="9"/>
  <c r="H208" i="9"/>
  <c r="I208" i="9"/>
  <c r="A208" i="9"/>
  <c r="K207" i="9"/>
  <c r="J207" i="9"/>
  <c r="I207" i="9"/>
  <c r="H207" i="9"/>
  <c r="A207" i="9"/>
  <c r="J206" i="9"/>
  <c r="K206" i="9" s="1"/>
  <c r="I206" i="9"/>
  <c r="H206" i="9"/>
  <c r="G206" i="9"/>
  <c r="A206" i="9"/>
  <c r="K37" i="9"/>
  <c r="J37" i="9"/>
  <c r="H37" i="9"/>
  <c r="I37" i="9" s="1"/>
  <c r="A37" i="9"/>
  <c r="K36" i="9"/>
  <c r="J36" i="9"/>
  <c r="H36" i="9"/>
  <c r="I36" i="9" s="1"/>
  <c r="A36" i="9"/>
  <c r="K35" i="9"/>
  <c r="J35" i="9"/>
  <c r="H35" i="9"/>
  <c r="G35" i="9"/>
  <c r="A35" i="9"/>
  <c r="K478" i="9"/>
  <c r="J478" i="9"/>
  <c r="I478" i="9"/>
  <c r="H478" i="9"/>
  <c r="A478" i="9"/>
  <c r="K477" i="9"/>
  <c r="J477" i="9"/>
  <c r="I477" i="9"/>
  <c r="H477" i="9"/>
  <c r="A477" i="9"/>
  <c r="K476" i="9"/>
  <c r="J476" i="9"/>
  <c r="H476" i="9"/>
  <c r="I476" i="9" s="1"/>
  <c r="G476" i="9"/>
  <c r="A476" i="9"/>
  <c r="K400" i="9"/>
  <c r="J400" i="9"/>
  <c r="I400" i="9"/>
  <c r="H400" i="9"/>
  <c r="A400" i="9"/>
  <c r="K399" i="9"/>
  <c r="J399" i="9"/>
  <c r="I399" i="9"/>
  <c r="H399" i="9"/>
  <c r="A399" i="9"/>
  <c r="J398" i="9"/>
  <c r="K398" i="9"/>
  <c r="H398" i="9"/>
  <c r="M398" i="9" s="1"/>
  <c r="I398" i="9"/>
  <c r="G398" i="9"/>
  <c r="A398" i="9"/>
  <c r="I35" i="9"/>
  <c r="I363" i="9"/>
  <c r="I61" i="9"/>
  <c r="I81" i="9"/>
  <c r="I381" i="9"/>
  <c r="I255" i="9"/>
  <c r="K412" i="9"/>
  <c r="J412" i="9"/>
  <c r="I412" i="9"/>
  <c r="H412" i="9"/>
  <c r="A412" i="9"/>
  <c r="K411" i="9"/>
  <c r="J411" i="9"/>
  <c r="I411" i="9"/>
  <c r="H411" i="9"/>
  <c r="A411" i="9"/>
  <c r="K410" i="9"/>
  <c r="J410" i="9"/>
  <c r="H410" i="9"/>
  <c r="I410" i="9"/>
  <c r="G410" i="9"/>
  <c r="A410" i="9"/>
  <c r="K142" i="9"/>
  <c r="J142" i="9"/>
  <c r="I142" i="9"/>
  <c r="H142" i="9"/>
  <c r="A142" i="9"/>
  <c r="K141" i="9"/>
  <c r="J141" i="9"/>
  <c r="H141" i="9"/>
  <c r="I141" i="9"/>
  <c r="A141" i="9"/>
  <c r="K140" i="9"/>
  <c r="J140" i="9"/>
  <c r="H140" i="9"/>
  <c r="I140" i="9" s="1"/>
  <c r="G140" i="9"/>
  <c r="A140" i="9"/>
  <c r="K43" i="9"/>
  <c r="J43" i="9"/>
  <c r="I43" i="9"/>
  <c r="H43" i="9"/>
  <c r="A43" i="9"/>
  <c r="K42" i="9"/>
  <c r="J42" i="9"/>
  <c r="I42" i="9"/>
  <c r="H42" i="9"/>
  <c r="A42" i="9"/>
  <c r="K41" i="9"/>
  <c r="J41" i="9"/>
  <c r="H41" i="9"/>
  <c r="G41" i="9"/>
  <c r="A41" i="9"/>
  <c r="K253" i="9"/>
  <c r="J253" i="9"/>
  <c r="I253" i="9"/>
  <c r="H253" i="9"/>
  <c r="A253" i="9"/>
  <c r="K252" i="9"/>
  <c r="J252" i="9"/>
  <c r="I252" i="9"/>
  <c r="H252" i="9"/>
  <c r="A252" i="9"/>
  <c r="K251" i="9"/>
  <c r="J251" i="9"/>
  <c r="H251" i="9"/>
  <c r="I251" i="9"/>
  <c r="G251" i="9"/>
  <c r="A251" i="9"/>
  <c r="I57" i="9"/>
  <c r="I58" i="9"/>
  <c r="K58" i="9"/>
  <c r="J58" i="9"/>
  <c r="H58" i="9"/>
  <c r="A58" i="9"/>
  <c r="K57" i="9"/>
  <c r="J57" i="9"/>
  <c r="H57" i="9"/>
  <c r="A57" i="9"/>
  <c r="K56" i="9"/>
  <c r="J56" i="9"/>
  <c r="H56" i="9"/>
  <c r="I56" i="9" s="1"/>
  <c r="G56" i="9"/>
  <c r="A56" i="9"/>
  <c r="K511" i="9"/>
  <c r="J511" i="9"/>
  <c r="H511" i="9"/>
  <c r="I511" i="9"/>
  <c r="A511" i="9"/>
  <c r="K510" i="9"/>
  <c r="J510" i="9"/>
  <c r="H510" i="9"/>
  <c r="I510" i="9"/>
  <c r="A510" i="9"/>
  <c r="K509" i="9"/>
  <c r="J509" i="9"/>
  <c r="H509" i="9"/>
  <c r="I509" i="9"/>
  <c r="G509" i="9"/>
  <c r="A509" i="9"/>
  <c r="K402" i="9"/>
  <c r="J402" i="9"/>
  <c r="K401" i="9"/>
  <c r="J401" i="9"/>
  <c r="I403" i="9"/>
  <c r="H403" i="9"/>
  <c r="H401" i="9"/>
  <c r="H402" i="9"/>
  <c r="A403" i="9"/>
  <c r="J403" i="9"/>
  <c r="K403" i="9" s="1"/>
  <c r="I402" i="9"/>
  <c r="K523" i="9"/>
  <c r="J523" i="9"/>
  <c r="I523" i="9"/>
  <c r="H523" i="9"/>
  <c r="A523" i="9"/>
  <c r="K522" i="9"/>
  <c r="J522" i="9"/>
  <c r="I522" i="9"/>
  <c r="H522" i="9"/>
  <c r="A522" i="9"/>
  <c r="K521" i="9"/>
  <c r="J521" i="9"/>
  <c r="I521" i="9"/>
  <c r="H521" i="9"/>
  <c r="G521" i="9"/>
  <c r="A521" i="9"/>
  <c r="K10" i="9"/>
  <c r="J10" i="9"/>
  <c r="I10" i="9"/>
  <c r="H10" i="9"/>
  <c r="A10" i="9"/>
  <c r="K9" i="9"/>
  <c r="J9" i="9"/>
  <c r="H9" i="9"/>
  <c r="A9" i="9"/>
  <c r="K8" i="9"/>
  <c r="J8" i="9"/>
  <c r="H8" i="9"/>
  <c r="G8" i="9"/>
  <c r="A8" i="9"/>
  <c r="K235" i="9"/>
  <c r="J235" i="9"/>
  <c r="I235" i="9"/>
  <c r="H235" i="9"/>
  <c r="A235" i="9"/>
  <c r="K234" i="9"/>
  <c r="J234" i="9"/>
  <c r="I234" i="9"/>
  <c r="H234" i="9"/>
  <c r="A234" i="9"/>
  <c r="K233" i="9"/>
  <c r="J233" i="9"/>
  <c r="H233" i="9"/>
  <c r="G233" i="9"/>
  <c r="A233" i="9"/>
  <c r="I41" i="9"/>
  <c r="I233" i="9"/>
  <c r="I401" i="9"/>
  <c r="A401" i="9"/>
  <c r="G401" i="9"/>
  <c r="A402" i="9"/>
  <c r="K418" i="9"/>
  <c r="J418" i="9"/>
  <c r="I418" i="9"/>
  <c r="H418" i="9"/>
  <c r="A418" i="9"/>
  <c r="K417" i="9"/>
  <c r="J417" i="9"/>
  <c r="I417" i="9"/>
  <c r="H417" i="9"/>
  <c r="A417" i="9"/>
  <c r="K416" i="9"/>
  <c r="J416" i="9"/>
  <c r="H416" i="9"/>
  <c r="I416" i="9"/>
  <c r="G416" i="9"/>
  <c r="A416" i="9"/>
  <c r="K70" i="9"/>
  <c r="J70" i="9"/>
  <c r="I70" i="9"/>
  <c r="H70" i="9"/>
  <c r="A70" i="9"/>
  <c r="K69" i="9"/>
  <c r="J69" i="9"/>
  <c r="I69" i="9"/>
  <c r="H69" i="9"/>
  <c r="A69" i="9"/>
  <c r="K68" i="9"/>
  <c r="J68" i="9"/>
  <c r="H68" i="9"/>
  <c r="G68" i="9"/>
  <c r="I68" i="9"/>
  <c r="A68" i="9"/>
  <c r="J325" i="9"/>
  <c r="K325" i="9" s="1"/>
  <c r="I325" i="9"/>
  <c r="H325" i="9"/>
  <c r="A325" i="9"/>
  <c r="J324" i="9"/>
  <c r="K324" i="9"/>
  <c r="I324" i="9"/>
  <c r="H324" i="9"/>
  <c r="A324" i="9"/>
  <c r="J323" i="9"/>
  <c r="K323" i="9"/>
  <c r="I323" i="9"/>
  <c r="H323" i="9"/>
  <c r="G323" i="9"/>
  <c r="A323" i="9"/>
  <c r="B110" i="10"/>
  <c r="I371" i="9" s="1"/>
  <c r="M371" i="9" s="1"/>
  <c r="K493" i="9"/>
  <c r="J493" i="9"/>
  <c r="I493" i="9"/>
  <c r="H493" i="9"/>
  <c r="A493" i="9"/>
  <c r="K492" i="9"/>
  <c r="J492" i="9"/>
  <c r="I492" i="9"/>
  <c r="H492" i="9"/>
  <c r="A492" i="9"/>
  <c r="K491" i="9"/>
  <c r="J491" i="9"/>
  <c r="H491" i="9"/>
  <c r="I491" i="9" s="1"/>
  <c r="G491" i="9"/>
  <c r="A491" i="9"/>
  <c r="K85" i="9"/>
  <c r="J85" i="9"/>
  <c r="I85" i="9"/>
  <c r="H85" i="9"/>
  <c r="A85" i="9"/>
  <c r="K84" i="9"/>
  <c r="J84" i="9"/>
  <c r="I84" i="9"/>
  <c r="H84" i="9"/>
  <c r="A84" i="9"/>
  <c r="K83" i="9"/>
  <c r="J83" i="9"/>
  <c r="H83" i="9"/>
  <c r="I83" i="9" s="1"/>
  <c r="G83" i="9"/>
  <c r="A83" i="9"/>
  <c r="K22" i="9"/>
  <c r="J22" i="9"/>
  <c r="I22" i="9"/>
  <c r="H22" i="9"/>
  <c r="A22" i="9"/>
  <c r="K21" i="9"/>
  <c r="J21" i="9"/>
  <c r="H21" i="9"/>
  <c r="I21" i="9" s="1"/>
  <c r="A21" i="9"/>
  <c r="K20" i="9"/>
  <c r="J20" i="9"/>
  <c r="H20" i="9"/>
  <c r="I20" i="9" s="1"/>
  <c r="G20" i="9"/>
  <c r="A20" i="9"/>
  <c r="K277" i="9"/>
  <c r="J277" i="9"/>
  <c r="I277" i="9"/>
  <c r="H277" i="9"/>
  <c r="A277" i="9"/>
  <c r="K276" i="9"/>
  <c r="J276" i="9"/>
  <c r="I276" i="9"/>
  <c r="H276" i="9"/>
  <c r="A276" i="9"/>
  <c r="K275" i="9"/>
  <c r="J275" i="9"/>
  <c r="I275" i="9"/>
  <c r="H275" i="9"/>
  <c r="G275" i="9"/>
  <c r="A275" i="9"/>
  <c r="K535" i="9"/>
  <c r="J535" i="9"/>
  <c r="I535" i="9"/>
  <c r="H535" i="9"/>
  <c r="A535" i="9"/>
  <c r="K534" i="9"/>
  <c r="J534" i="9"/>
  <c r="I534" i="9"/>
  <c r="H534" i="9"/>
  <c r="A534" i="9"/>
  <c r="K533" i="9"/>
  <c r="J533" i="9"/>
  <c r="I533" i="9"/>
  <c r="H533" i="9"/>
  <c r="G533" i="9"/>
  <c r="A533" i="9"/>
  <c r="J289" i="9"/>
  <c r="K289" i="9"/>
  <c r="I289" i="9"/>
  <c r="H289" i="9"/>
  <c r="A289" i="9"/>
  <c r="K288" i="9"/>
  <c r="J288" i="9"/>
  <c r="H288" i="9"/>
  <c r="I288" i="9" s="1"/>
  <c r="A288" i="9"/>
  <c r="K287" i="9"/>
  <c r="J287" i="9"/>
  <c r="I287" i="9"/>
  <c r="H287" i="9"/>
  <c r="G287" i="9"/>
  <c r="A287" i="9"/>
  <c r="K31" i="9"/>
  <c r="J31" i="9"/>
  <c r="I31" i="9"/>
  <c r="H31" i="9"/>
  <c r="A31" i="9"/>
  <c r="K30" i="9"/>
  <c r="J30" i="9"/>
  <c r="H30" i="9"/>
  <c r="I30" i="9"/>
  <c r="A30" i="9"/>
  <c r="K29" i="9"/>
  <c r="J29" i="9"/>
  <c r="H29" i="9"/>
  <c r="I29" i="9" s="1"/>
  <c r="G29" i="9"/>
  <c r="A29" i="9"/>
  <c r="I480" i="9"/>
  <c r="K481" i="9"/>
  <c r="J481" i="9"/>
  <c r="I481" i="9"/>
  <c r="H481" i="9"/>
  <c r="A481" i="9"/>
  <c r="K480" i="9"/>
  <c r="J480" i="9"/>
  <c r="H480" i="9"/>
  <c r="A480" i="9"/>
  <c r="K479" i="9"/>
  <c r="J479" i="9"/>
  <c r="H479" i="9"/>
  <c r="I479" i="9" s="1"/>
  <c r="G479" i="9"/>
  <c r="A479" i="9"/>
  <c r="K172" i="9"/>
  <c r="J172" i="9"/>
  <c r="I172" i="9"/>
  <c r="H172" i="9"/>
  <c r="A172" i="9"/>
  <c r="K171" i="9"/>
  <c r="J171" i="9"/>
  <c r="H171" i="9"/>
  <c r="A171" i="9"/>
  <c r="K170" i="9"/>
  <c r="J170" i="9"/>
  <c r="H170" i="9"/>
  <c r="G170" i="9"/>
  <c r="A170" i="9"/>
  <c r="K382" i="9"/>
  <c r="J382" i="9"/>
  <c r="H382" i="9"/>
  <c r="I382" i="9" s="1"/>
  <c r="A382" i="9"/>
  <c r="K381" i="9"/>
  <c r="J381" i="9"/>
  <c r="H381" i="9"/>
  <c r="A381" i="9"/>
  <c r="K380" i="9"/>
  <c r="J380" i="9"/>
  <c r="H380" i="9"/>
  <c r="I380" i="9" s="1"/>
  <c r="G380" i="9"/>
  <c r="A380" i="9"/>
  <c r="K49" i="9"/>
  <c r="J49" i="9"/>
  <c r="I49" i="9"/>
  <c r="H49" i="9"/>
  <c r="A49" i="9"/>
  <c r="K48" i="9"/>
  <c r="J48" i="9"/>
  <c r="H48" i="9"/>
  <c r="A48" i="9"/>
  <c r="K47" i="9"/>
  <c r="J47" i="9"/>
  <c r="H47" i="9"/>
  <c r="I47" i="9" s="1"/>
  <c r="G47" i="9"/>
  <c r="A47" i="9"/>
  <c r="K427" i="9"/>
  <c r="J427" i="9"/>
  <c r="I427" i="9"/>
  <c r="H427" i="9"/>
  <c r="A427" i="9"/>
  <c r="K426" i="9"/>
  <c r="J426" i="9"/>
  <c r="I426" i="9"/>
  <c r="H426" i="9"/>
  <c r="A426" i="9"/>
  <c r="K425" i="9"/>
  <c r="J425" i="9"/>
  <c r="I425" i="9"/>
  <c r="H425" i="9"/>
  <c r="G425" i="9"/>
  <c r="A425" i="9"/>
  <c r="K115" i="9"/>
  <c r="J115" i="9"/>
  <c r="I115" i="9"/>
  <c r="H115" i="9"/>
  <c r="A115" i="9"/>
  <c r="K114" i="9"/>
  <c r="J114" i="9"/>
  <c r="I114" i="9"/>
  <c r="H114" i="9"/>
  <c r="A114" i="9"/>
  <c r="K113" i="9"/>
  <c r="J113" i="9"/>
  <c r="H113" i="9"/>
  <c r="I113" i="9" s="1"/>
  <c r="G113" i="9"/>
  <c r="A113" i="9"/>
  <c r="K193" i="9"/>
  <c r="J193" i="9"/>
  <c r="H193" i="9"/>
  <c r="I193" i="9" s="1"/>
  <c r="A193" i="9"/>
  <c r="K192" i="9"/>
  <c r="J192" i="9"/>
  <c r="I192" i="9"/>
  <c r="H192" i="9"/>
  <c r="A192" i="9"/>
  <c r="K191" i="9"/>
  <c r="J191" i="9"/>
  <c r="I191" i="9"/>
  <c r="H191" i="9"/>
  <c r="G191" i="9"/>
  <c r="A191" i="9"/>
  <c r="K460" i="9"/>
  <c r="J460" i="9"/>
  <c r="I460" i="9"/>
  <c r="H460" i="9"/>
  <c r="A460" i="9"/>
  <c r="J459" i="9"/>
  <c r="K459" i="9" s="1"/>
  <c r="I459" i="9"/>
  <c r="H459" i="9"/>
  <c r="A459" i="9"/>
  <c r="K458" i="9"/>
  <c r="J458" i="9"/>
  <c r="I458" i="9"/>
  <c r="H458" i="9"/>
  <c r="G458" i="9"/>
  <c r="A458" i="9"/>
  <c r="K97" i="9"/>
  <c r="J97" i="9"/>
  <c r="I97" i="9"/>
  <c r="H97" i="9"/>
  <c r="A97" i="9"/>
  <c r="K96" i="9"/>
  <c r="J96" i="9"/>
  <c r="I96" i="9"/>
  <c r="H96" i="9"/>
  <c r="A96" i="9"/>
  <c r="K95" i="9"/>
  <c r="J95" i="9"/>
  <c r="H95" i="9"/>
  <c r="I95" i="9" s="1"/>
  <c r="G95" i="9"/>
  <c r="A95" i="9"/>
  <c r="K322" i="9"/>
  <c r="J322" i="9"/>
  <c r="I322" i="9"/>
  <c r="H322" i="9"/>
  <c r="A322" i="9"/>
  <c r="J321" i="9"/>
  <c r="K321" i="9"/>
  <c r="I321" i="9"/>
  <c r="H321" i="9"/>
  <c r="A321" i="9"/>
  <c r="K320" i="9"/>
  <c r="J320" i="9"/>
  <c r="I320" i="9"/>
  <c r="H320" i="9"/>
  <c r="G320" i="9"/>
  <c r="A320" i="9"/>
  <c r="K457" i="9"/>
  <c r="J457" i="9"/>
  <c r="I457" i="9"/>
  <c r="H457" i="9"/>
  <c r="A457" i="9"/>
  <c r="K456" i="9"/>
  <c r="J456" i="9"/>
  <c r="I456" i="9"/>
  <c r="H456" i="9"/>
  <c r="A456" i="9"/>
  <c r="K455" i="9"/>
  <c r="J455" i="9"/>
  <c r="H455" i="9"/>
  <c r="I455" i="9"/>
  <c r="G455" i="9"/>
  <c r="A455" i="9"/>
  <c r="J472" i="9"/>
  <c r="K472" i="9"/>
  <c r="I472" i="9"/>
  <c r="H472" i="9"/>
  <c r="A472" i="9"/>
  <c r="K471" i="9"/>
  <c r="J471" i="9"/>
  <c r="I471" i="9"/>
  <c r="H471" i="9"/>
  <c r="A471" i="9"/>
  <c r="K470" i="9"/>
  <c r="J470" i="9"/>
  <c r="I470" i="9"/>
  <c r="H470" i="9"/>
  <c r="G470" i="9"/>
  <c r="A470" i="9"/>
  <c r="K346" i="9"/>
  <c r="J346" i="9"/>
  <c r="I346" i="9"/>
  <c r="H346" i="9"/>
  <c r="A346" i="9"/>
  <c r="K345" i="9"/>
  <c r="J345" i="9"/>
  <c r="I345" i="9"/>
  <c r="H345" i="9"/>
  <c r="A345" i="9"/>
  <c r="K344" i="9"/>
  <c r="J344" i="9"/>
  <c r="I344" i="9"/>
  <c r="H344" i="9"/>
  <c r="G344" i="9"/>
  <c r="A344" i="9"/>
  <c r="K367" i="9"/>
  <c r="J367" i="9"/>
  <c r="I367" i="9"/>
  <c r="H367" i="9"/>
  <c r="A367" i="9"/>
  <c r="K366" i="9"/>
  <c r="J366" i="9"/>
  <c r="H366" i="9"/>
  <c r="I366" i="9"/>
  <c r="A366" i="9"/>
  <c r="K365" i="9"/>
  <c r="J365" i="9"/>
  <c r="I365" i="9"/>
  <c r="H365" i="9"/>
  <c r="G365" i="9"/>
  <c r="A365" i="9"/>
  <c r="K73" i="9"/>
  <c r="J73" i="9"/>
  <c r="I73" i="9"/>
  <c r="H73" i="9"/>
  <c r="A73" i="9"/>
  <c r="K72" i="9"/>
  <c r="J72" i="9"/>
  <c r="H72" i="9"/>
  <c r="I72" i="9" s="1"/>
  <c r="A72" i="9"/>
  <c r="K71" i="9"/>
  <c r="J71" i="9"/>
  <c r="H71" i="9"/>
  <c r="I71" i="9" s="1"/>
  <c r="G71" i="9"/>
  <c r="A71" i="9"/>
  <c r="K181" i="9"/>
  <c r="J181" i="9"/>
  <c r="I181" i="9"/>
  <c r="H181" i="9"/>
  <c r="A181" i="9"/>
  <c r="K180" i="9"/>
  <c r="J180" i="9"/>
  <c r="I180" i="9"/>
  <c r="H180" i="9"/>
  <c r="A180" i="9"/>
  <c r="K179" i="9"/>
  <c r="J179" i="9"/>
  <c r="I179" i="9"/>
  <c r="H179" i="9"/>
  <c r="G179" i="9"/>
  <c r="A179" i="9"/>
  <c r="J454" i="9"/>
  <c r="K454" i="9" s="1"/>
  <c r="I454" i="9"/>
  <c r="H454" i="9"/>
  <c r="K453" i="9"/>
  <c r="J453" i="9"/>
  <c r="I453" i="9"/>
  <c r="H453" i="9"/>
  <c r="K452" i="9"/>
  <c r="J452" i="9"/>
  <c r="I452" i="9"/>
  <c r="H452" i="9"/>
  <c r="G452" i="9"/>
  <c r="K550" i="9"/>
  <c r="J550" i="9"/>
  <c r="I550" i="9"/>
  <c r="H550" i="9"/>
  <c r="K549" i="9"/>
  <c r="J549" i="9"/>
  <c r="I549" i="9"/>
  <c r="H549" i="9"/>
  <c r="K548" i="9"/>
  <c r="J548" i="9"/>
  <c r="I548" i="9"/>
  <c r="H548" i="9"/>
  <c r="G548" i="9"/>
  <c r="K103" i="9"/>
  <c r="J103" i="9"/>
  <c r="I103" i="9"/>
  <c r="H103" i="9"/>
  <c r="K102" i="9"/>
  <c r="J102" i="9"/>
  <c r="H102" i="9"/>
  <c r="I102" i="9"/>
  <c r="K101" i="9"/>
  <c r="J101" i="9"/>
  <c r="H101" i="9"/>
  <c r="I101" i="9" s="1"/>
  <c r="G101" i="9"/>
  <c r="C110" i="10"/>
  <c r="I378" i="9"/>
  <c r="P377" i="9" s="1"/>
  <c r="I90" i="9"/>
  <c r="I525" i="9"/>
  <c r="F14" i="3"/>
  <c r="S14" i="3" s="1"/>
  <c r="K409" i="9"/>
  <c r="J409" i="9"/>
  <c r="H409" i="9"/>
  <c r="I409" i="9" s="1"/>
  <c r="J408" i="9"/>
  <c r="K408" i="9" s="1"/>
  <c r="I408" i="9"/>
  <c r="H408" i="9"/>
  <c r="K407" i="9"/>
  <c r="J407" i="9"/>
  <c r="H407" i="9"/>
  <c r="I407" i="9"/>
  <c r="K508" i="9"/>
  <c r="J508" i="9"/>
  <c r="H508" i="9"/>
  <c r="I508" i="9"/>
  <c r="K507" i="9"/>
  <c r="J507" i="9"/>
  <c r="I507" i="9"/>
  <c r="H507" i="9"/>
  <c r="K506" i="9"/>
  <c r="J506" i="9"/>
  <c r="H506" i="9"/>
  <c r="I506" i="9"/>
  <c r="K229" i="9"/>
  <c r="J229" i="9"/>
  <c r="I229" i="9"/>
  <c r="H229" i="9"/>
  <c r="K228" i="9"/>
  <c r="J228" i="9"/>
  <c r="I228" i="9"/>
  <c r="H228" i="9"/>
  <c r="K227" i="9"/>
  <c r="J227" i="9"/>
  <c r="I227" i="9"/>
  <c r="H227" i="9"/>
  <c r="K520" i="9"/>
  <c r="J520" i="9"/>
  <c r="I520" i="9"/>
  <c r="H520" i="9"/>
  <c r="K519" i="9"/>
  <c r="J519" i="9"/>
  <c r="H519" i="9"/>
  <c r="I519" i="9"/>
  <c r="K518" i="9"/>
  <c r="J518" i="9"/>
  <c r="H518" i="9"/>
  <c r="I518" i="9"/>
  <c r="K343" i="9"/>
  <c r="J343" i="9"/>
  <c r="I343" i="9"/>
  <c r="H343" i="9"/>
  <c r="K342" i="9"/>
  <c r="J342" i="9"/>
  <c r="H342" i="9"/>
  <c r="I342" i="9"/>
  <c r="K341" i="9"/>
  <c r="J341" i="9"/>
  <c r="I341" i="9"/>
  <c r="H341" i="9"/>
  <c r="K397" i="9"/>
  <c r="J397" i="9"/>
  <c r="I397" i="9"/>
  <c r="H397" i="9"/>
  <c r="K396" i="9"/>
  <c r="J396" i="9"/>
  <c r="I396" i="9"/>
  <c r="H396" i="9"/>
  <c r="K395" i="9"/>
  <c r="J395" i="9"/>
  <c r="H395" i="9"/>
  <c r="I395" i="9" s="1"/>
  <c r="K301" i="9"/>
  <c r="J301" i="9"/>
  <c r="I301" i="9"/>
  <c r="H301" i="9"/>
  <c r="J300" i="9"/>
  <c r="K300" i="9"/>
  <c r="I300" i="9"/>
  <c r="H300" i="9"/>
  <c r="K299" i="9"/>
  <c r="J299" i="9"/>
  <c r="I299" i="9"/>
  <c r="H299" i="9"/>
  <c r="K220" i="9"/>
  <c r="J220" i="9"/>
  <c r="I220" i="9"/>
  <c r="H220" i="9"/>
  <c r="K219" i="9"/>
  <c r="J219" i="9"/>
  <c r="I219" i="9"/>
  <c r="H219" i="9"/>
  <c r="K218" i="9"/>
  <c r="J218" i="9"/>
  <c r="I218" i="9"/>
  <c r="H218" i="9"/>
  <c r="K244" i="9"/>
  <c r="J244" i="9"/>
  <c r="I244" i="9"/>
  <c r="H244" i="9"/>
  <c r="J243" i="9"/>
  <c r="K243" i="9" s="1"/>
  <c r="H243" i="9"/>
  <c r="I243" i="9"/>
  <c r="K242" i="9"/>
  <c r="J242" i="9"/>
  <c r="I242" i="9"/>
  <c r="H242" i="9"/>
  <c r="K394" i="9"/>
  <c r="J394" i="9"/>
  <c r="I394" i="9"/>
  <c r="H394" i="9"/>
  <c r="K393" i="9"/>
  <c r="J393" i="9"/>
  <c r="H393" i="9"/>
  <c r="I393" i="9" s="1"/>
  <c r="K392" i="9"/>
  <c r="J392" i="9"/>
  <c r="I392" i="9"/>
  <c r="H392" i="9"/>
  <c r="K133" i="9"/>
  <c r="J133" i="9"/>
  <c r="I133" i="9"/>
  <c r="H133" i="9"/>
  <c r="K132" i="9"/>
  <c r="J132" i="9"/>
  <c r="I132" i="9"/>
  <c r="H132" i="9"/>
  <c r="K131" i="9"/>
  <c r="J131" i="9"/>
  <c r="H131" i="9"/>
  <c r="I131" i="9" s="1"/>
  <c r="K175" i="9"/>
  <c r="J175" i="9"/>
  <c r="I175" i="9"/>
  <c r="H175" i="9"/>
  <c r="J174" i="9"/>
  <c r="K174" i="9"/>
  <c r="I174" i="9"/>
  <c r="H174" i="9"/>
  <c r="J173" i="9"/>
  <c r="K173" i="9"/>
  <c r="I173" i="9"/>
  <c r="H173" i="9"/>
  <c r="K415" i="9"/>
  <c r="J415" i="9"/>
  <c r="I415" i="9"/>
  <c r="H415" i="9"/>
  <c r="K414" i="9"/>
  <c r="J414" i="9"/>
  <c r="I414" i="9"/>
  <c r="H414" i="9"/>
  <c r="K413" i="9"/>
  <c r="J413" i="9"/>
  <c r="I413" i="9"/>
  <c r="H413" i="9"/>
  <c r="K241" i="9"/>
  <c r="J241" i="9"/>
  <c r="H241" i="9"/>
  <c r="I241" i="9"/>
  <c r="K240" i="9"/>
  <c r="J240" i="9"/>
  <c r="H240" i="9"/>
  <c r="I240" i="9" s="1"/>
  <c r="J239" i="9"/>
  <c r="K239" i="9" s="1"/>
  <c r="H239" i="9"/>
  <c r="I239" i="9" s="1"/>
  <c r="K307" i="9"/>
  <c r="J307" i="9"/>
  <c r="I307" i="9"/>
  <c r="H307" i="9"/>
  <c r="K306" i="9"/>
  <c r="J306" i="9"/>
  <c r="I306" i="9"/>
  <c r="H306" i="9"/>
  <c r="K305" i="9"/>
  <c r="J305" i="9"/>
  <c r="I305" i="9"/>
  <c r="H305" i="9"/>
  <c r="K517" i="9"/>
  <c r="J517" i="9"/>
  <c r="I517" i="9"/>
  <c r="H517" i="9"/>
  <c r="K516" i="9"/>
  <c r="J516" i="9"/>
  <c r="I516" i="9"/>
  <c r="H516" i="9"/>
  <c r="J515" i="9"/>
  <c r="K515" i="9"/>
  <c r="H515" i="9"/>
  <c r="I515" i="9"/>
  <c r="K592" i="9"/>
  <c r="J592" i="9"/>
  <c r="I592" i="9"/>
  <c r="H592" i="9"/>
  <c r="K591" i="9"/>
  <c r="J591" i="9"/>
  <c r="I591" i="9"/>
  <c r="H591" i="9"/>
  <c r="K590" i="9"/>
  <c r="J590" i="9"/>
  <c r="I590" i="9"/>
  <c r="H590" i="9"/>
  <c r="K583" i="9"/>
  <c r="J583" i="9"/>
  <c r="I583" i="9"/>
  <c r="H583" i="9"/>
  <c r="K582" i="9"/>
  <c r="J582" i="9"/>
  <c r="I582" i="9"/>
  <c r="H582" i="9"/>
  <c r="K581" i="9"/>
  <c r="J581" i="9"/>
  <c r="I581" i="9"/>
  <c r="H581" i="9"/>
  <c r="K328" i="9"/>
  <c r="J328" i="9"/>
  <c r="K327" i="9"/>
  <c r="J327" i="9"/>
  <c r="K574" i="9"/>
  <c r="J574" i="9"/>
  <c r="K573" i="9"/>
  <c r="J573" i="9"/>
  <c r="K442" i="9"/>
  <c r="J442" i="9"/>
  <c r="I442" i="9"/>
  <c r="H442" i="9"/>
  <c r="K441" i="9"/>
  <c r="J441" i="9"/>
  <c r="I441" i="9"/>
  <c r="H441" i="9"/>
  <c r="J440" i="9"/>
  <c r="K440" i="9" s="1"/>
  <c r="I440" i="9"/>
  <c r="H440" i="9"/>
  <c r="K154" i="9"/>
  <c r="J154" i="9"/>
  <c r="I154" i="9"/>
  <c r="H154" i="9"/>
  <c r="K153" i="9"/>
  <c r="J153" i="9"/>
  <c r="I153" i="9"/>
  <c r="H153" i="9"/>
  <c r="N152" i="9" s="1"/>
  <c r="K152" i="9"/>
  <c r="J152" i="9"/>
  <c r="H152" i="9"/>
  <c r="I152" i="9" s="1"/>
  <c r="K304" i="9"/>
  <c r="J304" i="9"/>
  <c r="I304" i="9"/>
  <c r="H304" i="9"/>
  <c r="J303" i="9"/>
  <c r="K303" i="9" s="1"/>
  <c r="I303" i="9"/>
  <c r="H303" i="9"/>
  <c r="J302" i="9"/>
  <c r="K302" i="9" s="1"/>
  <c r="I302" i="9"/>
  <c r="H302" i="9"/>
  <c r="K163" i="9"/>
  <c r="J163" i="9"/>
  <c r="H163" i="9"/>
  <c r="I163" i="9" s="1"/>
  <c r="K162" i="9"/>
  <c r="J162" i="9"/>
  <c r="I162" i="9"/>
  <c r="H162" i="9"/>
  <c r="J161" i="9"/>
  <c r="K161" i="9"/>
  <c r="H161" i="9"/>
  <c r="I161" i="9" s="1"/>
  <c r="K340" i="9"/>
  <c r="J340" i="9"/>
  <c r="I340" i="9"/>
  <c r="H340" i="9"/>
  <c r="K339" i="9"/>
  <c r="J339" i="9"/>
  <c r="H339" i="9"/>
  <c r="I339" i="9" s="1"/>
  <c r="K338" i="9"/>
  <c r="J338" i="9"/>
  <c r="I338" i="9"/>
  <c r="H338" i="9"/>
  <c r="K196" i="9"/>
  <c r="J196" i="9"/>
  <c r="I196" i="9"/>
  <c r="H196" i="9"/>
  <c r="K195" i="9"/>
  <c r="J195" i="9"/>
  <c r="H195" i="9"/>
  <c r="I195" i="9" s="1"/>
  <c r="K194" i="9"/>
  <c r="J194" i="9"/>
  <c r="H194" i="9"/>
  <c r="I194" i="9" s="1"/>
  <c r="K436" i="9"/>
  <c r="J436" i="9"/>
  <c r="H436" i="9"/>
  <c r="I436" i="9" s="1"/>
  <c r="K435" i="9"/>
  <c r="J435" i="9"/>
  <c r="I435" i="9"/>
  <c r="H435" i="9"/>
  <c r="K434" i="9"/>
  <c r="J434" i="9"/>
  <c r="I434" i="9"/>
  <c r="H434" i="9"/>
  <c r="K250" i="9"/>
  <c r="J250" i="9"/>
  <c r="I250" i="9"/>
  <c r="H250" i="9"/>
  <c r="K249" i="9"/>
  <c r="J249" i="9"/>
  <c r="I249" i="9"/>
  <c r="H249" i="9"/>
  <c r="J248" i="9"/>
  <c r="K248" i="9" s="1"/>
  <c r="I248" i="9"/>
  <c r="H248" i="9"/>
  <c r="K334" i="9"/>
  <c r="J334" i="9"/>
  <c r="I334" i="9"/>
  <c r="H334" i="9"/>
  <c r="K333" i="9"/>
  <c r="J333" i="9"/>
  <c r="I333" i="9"/>
  <c r="H333" i="9"/>
  <c r="K332" i="9"/>
  <c r="J332" i="9"/>
  <c r="I332" i="9"/>
  <c r="H332" i="9"/>
  <c r="K127" i="9"/>
  <c r="J127" i="9"/>
  <c r="I127" i="9"/>
  <c r="H127" i="9"/>
  <c r="K126" i="9"/>
  <c r="J126" i="9"/>
  <c r="I126" i="9"/>
  <c r="H126" i="9"/>
  <c r="K125" i="9"/>
  <c r="J125" i="9"/>
  <c r="H125" i="9"/>
  <c r="I125" i="9" s="1"/>
  <c r="K577" i="9"/>
  <c r="J577" i="9"/>
  <c r="I577" i="9"/>
  <c r="H577" i="9"/>
  <c r="J576" i="9"/>
  <c r="K576" i="9"/>
  <c r="H576" i="9"/>
  <c r="I576" i="9" s="1"/>
  <c r="K575" i="9"/>
  <c r="J575" i="9"/>
  <c r="I575" i="9"/>
  <c r="H575" i="9"/>
  <c r="J214" i="9"/>
  <c r="K214" i="9"/>
  <c r="I214" i="9"/>
  <c r="H214" i="9"/>
  <c r="K213" i="9"/>
  <c r="J213" i="9"/>
  <c r="H213" i="9"/>
  <c r="I213" i="9" s="1"/>
  <c r="K212" i="9"/>
  <c r="J212" i="9"/>
  <c r="H212" i="9"/>
  <c r="I212" i="9" s="1"/>
  <c r="K439" i="9"/>
  <c r="J439" i="9"/>
  <c r="I439" i="9"/>
  <c r="H439" i="9"/>
  <c r="K438" i="9"/>
  <c r="J438" i="9"/>
  <c r="I438" i="9"/>
  <c r="H438" i="9"/>
  <c r="K437" i="9"/>
  <c r="J437" i="9"/>
  <c r="I437" i="9"/>
  <c r="H437" i="9"/>
  <c r="K469" i="9"/>
  <c r="J469" i="9"/>
  <c r="H469" i="9"/>
  <c r="I469" i="9" s="1"/>
  <c r="K468" i="9"/>
  <c r="J468" i="9"/>
  <c r="I468" i="9"/>
  <c r="H468" i="9"/>
  <c r="K467" i="9"/>
  <c r="J467" i="9"/>
  <c r="H467" i="9"/>
  <c r="I467" i="9" s="1"/>
  <c r="K310" i="9"/>
  <c r="J310" i="9"/>
  <c r="I310" i="9"/>
  <c r="H310" i="9"/>
  <c r="K309" i="9"/>
  <c r="J309" i="9"/>
  <c r="I309" i="9"/>
  <c r="H309" i="9"/>
  <c r="K308" i="9"/>
  <c r="J308" i="9"/>
  <c r="I308" i="9"/>
  <c r="H308" i="9"/>
  <c r="J430" i="9"/>
  <c r="K430" i="9" s="1"/>
  <c r="H430" i="9"/>
  <c r="I430" i="9"/>
  <c r="K429" i="9"/>
  <c r="J429" i="9"/>
  <c r="I429" i="9"/>
  <c r="H429" i="9"/>
  <c r="K428" i="9"/>
  <c r="J428" i="9"/>
  <c r="H428" i="9"/>
  <c r="I428" i="9"/>
  <c r="K157" i="9"/>
  <c r="J157" i="9"/>
  <c r="H157" i="9"/>
  <c r="I157" i="9"/>
  <c r="K156" i="9"/>
  <c r="J156" i="9"/>
  <c r="I156" i="9"/>
  <c r="H156" i="9"/>
  <c r="J155" i="9"/>
  <c r="K155" i="9" s="1"/>
  <c r="H155" i="9"/>
  <c r="I155" i="9" s="1"/>
  <c r="K211" i="9"/>
  <c r="J211" i="9"/>
  <c r="I211" i="9"/>
  <c r="H211" i="9"/>
  <c r="K210" i="9"/>
  <c r="J210" i="9"/>
  <c r="H210" i="9"/>
  <c r="I210" i="9" s="1"/>
  <c r="K209" i="9"/>
  <c r="J209" i="9"/>
  <c r="I209" i="9"/>
  <c r="H209" i="9"/>
  <c r="K586" i="9"/>
  <c r="J586" i="9"/>
  <c r="I586" i="9"/>
  <c r="H586" i="9"/>
  <c r="K585" i="9"/>
  <c r="J585" i="9"/>
  <c r="I585" i="9"/>
  <c r="H585" i="9"/>
  <c r="K584" i="9"/>
  <c r="J584" i="9"/>
  <c r="I584" i="9"/>
  <c r="H584" i="9"/>
  <c r="K529" i="9"/>
  <c r="J529" i="9"/>
  <c r="I529" i="9"/>
  <c r="H529" i="9"/>
  <c r="K528" i="9"/>
  <c r="J528" i="9"/>
  <c r="I528" i="9"/>
  <c r="H528" i="9"/>
  <c r="K527" i="9"/>
  <c r="J527" i="9"/>
  <c r="I527" i="9"/>
  <c r="H527" i="9"/>
  <c r="K526" i="9"/>
  <c r="J526" i="9"/>
  <c r="H526" i="9"/>
  <c r="I526" i="9"/>
  <c r="K525" i="9"/>
  <c r="J525" i="9"/>
  <c r="H525" i="9"/>
  <c r="K524" i="9"/>
  <c r="J524" i="9"/>
  <c r="H524" i="9"/>
  <c r="I524" i="9" s="1"/>
  <c r="J424" i="9"/>
  <c r="K424" i="9" s="1"/>
  <c r="I424" i="9"/>
  <c r="H424" i="9"/>
  <c r="J423" i="9"/>
  <c r="K423" i="9" s="1"/>
  <c r="H423" i="9"/>
  <c r="I423" i="9" s="1"/>
  <c r="K422" i="9"/>
  <c r="J422" i="9"/>
  <c r="I422" i="9"/>
  <c r="H422" i="9"/>
  <c r="K514" i="9"/>
  <c r="J514" i="9"/>
  <c r="I514" i="9"/>
  <c r="H514" i="9"/>
  <c r="K513" i="9"/>
  <c r="J513" i="9"/>
  <c r="H513" i="9"/>
  <c r="I513" i="9"/>
  <c r="K512" i="9"/>
  <c r="J512" i="9"/>
  <c r="H512" i="9"/>
  <c r="I512" i="9"/>
  <c r="J160" i="9"/>
  <c r="K160" i="9" s="1"/>
  <c r="I160" i="9"/>
  <c r="H160" i="9"/>
  <c r="J159" i="9"/>
  <c r="K159" i="9" s="1"/>
  <c r="I159" i="9"/>
  <c r="H159" i="9"/>
  <c r="K158" i="9"/>
  <c r="J158" i="9"/>
  <c r="H158" i="9"/>
  <c r="I158" i="9" s="1"/>
  <c r="K61" i="9"/>
  <c r="J61" i="9"/>
  <c r="H61" i="9"/>
  <c r="K60" i="9"/>
  <c r="J60" i="9"/>
  <c r="I60" i="9"/>
  <c r="H60" i="9"/>
  <c r="J59" i="9"/>
  <c r="K59" i="9"/>
  <c r="H59" i="9"/>
  <c r="I59" i="9" s="1"/>
  <c r="K505" i="9"/>
  <c r="J505" i="9"/>
  <c r="H505" i="9"/>
  <c r="K504" i="9"/>
  <c r="J504" i="9"/>
  <c r="H504" i="9"/>
  <c r="K503" i="9"/>
  <c r="J503" i="9"/>
  <c r="H503" i="9"/>
  <c r="K274" i="9"/>
  <c r="J274" i="9"/>
  <c r="I274" i="9"/>
  <c r="H274" i="9"/>
  <c r="K273" i="9"/>
  <c r="J273" i="9"/>
  <c r="I273" i="9"/>
  <c r="H273" i="9"/>
  <c r="K272" i="9"/>
  <c r="J272" i="9"/>
  <c r="H272" i="9"/>
  <c r="K82" i="9"/>
  <c r="J82" i="9"/>
  <c r="I82" i="9"/>
  <c r="H82" i="9"/>
  <c r="K81" i="9"/>
  <c r="J81" i="9"/>
  <c r="H81" i="9"/>
  <c r="K80" i="9"/>
  <c r="J80" i="9"/>
  <c r="H80" i="9"/>
  <c r="K256" i="9"/>
  <c r="J256" i="9"/>
  <c r="I256" i="9"/>
  <c r="H256" i="9"/>
  <c r="K255" i="9"/>
  <c r="J255" i="9"/>
  <c r="H255" i="9"/>
  <c r="K254" i="9"/>
  <c r="J254" i="9"/>
  <c r="H254" i="9"/>
  <c r="K364" i="9"/>
  <c r="J364" i="9"/>
  <c r="I364" i="9"/>
  <c r="H364" i="9"/>
  <c r="J363" i="9"/>
  <c r="K363" i="9" s="1"/>
  <c r="H363" i="9"/>
  <c r="K362" i="9"/>
  <c r="J362" i="9"/>
  <c r="H362" i="9"/>
  <c r="K64" i="9"/>
  <c r="J64" i="9"/>
  <c r="I64" i="9"/>
  <c r="H64" i="9"/>
  <c r="K63" i="9"/>
  <c r="J63" i="9"/>
  <c r="H63" i="9"/>
  <c r="K62" i="9"/>
  <c r="J62" i="9"/>
  <c r="H62" i="9"/>
  <c r="I62" i="9" s="1"/>
  <c r="J361" i="9"/>
  <c r="K361" i="9" s="1"/>
  <c r="I361" i="9"/>
  <c r="H361" i="9"/>
  <c r="J360" i="9"/>
  <c r="K360" i="9" s="1"/>
  <c r="H360" i="9"/>
  <c r="J359" i="9"/>
  <c r="K359" i="9" s="1"/>
  <c r="H359" i="9"/>
  <c r="K547" i="9"/>
  <c r="J547" i="9"/>
  <c r="I547" i="9"/>
  <c r="H547" i="9"/>
  <c r="K546" i="9"/>
  <c r="J546" i="9"/>
  <c r="H546" i="9"/>
  <c r="K545" i="9"/>
  <c r="J545" i="9"/>
  <c r="H545" i="9"/>
  <c r="K349" i="9"/>
  <c r="J349" i="9"/>
  <c r="I349" i="9"/>
  <c r="H349" i="9"/>
  <c r="K348" i="9"/>
  <c r="J348" i="9"/>
  <c r="H348" i="9"/>
  <c r="I348" i="9" s="1"/>
  <c r="J347" i="9"/>
  <c r="K347" i="9" s="1"/>
  <c r="H347" i="9"/>
  <c r="K541" i="9"/>
  <c r="J541" i="9"/>
  <c r="I541" i="9"/>
  <c r="H541" i="9"/>
  <c r="K540" i="9"/>
  <c r="J540" i="9"/>
  <c r="H540" i="9"/>
  <c r="K539" i="9"/>
  <c r="J539" i="9"/>
  <c r="H539" i="9"/>
  <c r="K532" i="9"/>
  <c r="J532" i="9"/>
  <c r="I532" i="9"/>
  <c r="H532" i="9"/>
  <c r="K531" i="9"/>
  <c r="J531" i="9"/>
  <c r="I531" i="9"/>
  <c r="H531" i="9"/>
  <c r="K530" i="9"/>
  <c r="J530" i="9"/>
  <c r="H530" i="9"/>
  <c r="K169" i="9"/>
  <c r="J169" i="9"/>
  <c r="I169" i="9"/>
  <c r="H169" i="9"/>
  <c r="K168" i="9"/>
  <c r="J168" i="9"/>
  <c r="H168" i="9"/>
  <c r="K167" i="9"/>
  <c r="J167" i="9"/>
  <c r="H167" i="9"/>
  <c r="K358" i="9"/>
  <c r="J358" i="9"/>
  <c r="I358" i="9"/>
  <c r="H358" i="9"/>
  <c r="K357" i="9"/>
  <c r="J357" i="9"/>
  <c r="I357" i="9"/>
  <c r="H357" i="9"/>
  <c r="K356" i="9"/>
  <c r="J356" i="9"/>
  <c r="H356" i="9"/>
  <c r="K205" i="9"/>
  <c r="J205" i="9"/>
  <c r="I205" i="9"/>
  <c r="H205" i="9"/>
  <c r="K204" i="9"/>
  <c r="J204" i="9"/>
  <c r="H204" i="9"/>
  <c r="K203" i="9"/>
  <c r="J203" i="9"/>
  <c r="H203" i="9"/>
  <c r="K40" i="9"/>
  <c r="J40" i="9"/>
  <c r="I40" i="9"/>
  <c r="H40" i="9"/>
  <c r="K39" i="9"/>
  <c r="J39" i="9"/>
  <c r="H39" i="9"/>
  <c r="I39" i="9" s="1"/>
  <c r="K38" i="9"/>
  <c r="J38" i="9"/>
  <c r="H38" i="9"/>
  <c r="I38" i="9" s="1"/>
  <c r="K34" i="9"/>
  <c r="J34" i="9"/>
  <c r="H34" i="9"/>
  <c r="I34" i="9" s="1"/>
  <c r="K33" i="9"/>
  <c r="J33" i="9"/>
  <c r="H33" i="9"/>
  <c r="I33" i="9" s="1"/>
  <c r="K32" i="9"/>
  <c r="J32" i="9"/>
  <c r="H32" i="9"/>
  <c r="I32" i="9" s="1"/>
  <c r="K19" i="9"/>
  <c r="J19" i="9"/>
  <c r="I19" i="9"/>
  <c r="H19" i="9"/>
  <c r="K18" i="9"/>
  <c r="J18" i="9"/>
  <c r="I18" i="9"/>
  <c r="H18" i="9"/>
  <c r="K17" i="9"/>
  <c r="J17" i="9"/>
  <c r="H17" i="9"/>
  <c r="I17" i="9" s="1"/>
  <c r="K7" i="9"/>
  <c r="J7" i="9"/>
  <c r="I7" i="9"/>
  <c r="H7" i="9"/>
  <c r="K6" i="9"/>
  <c r="J6" i="9"/>
  <c r="I6" i="9"/>
  <c r="H6" i="9"/>
  <c r="K5" i="9"/>
  <c r="J5" i="9"/>
  <c r="H5" i="9"/>
  <c r="I5" i="9" s="1"/>
  <c r="G59" i="9"/>
  <c r="K4" i="9"/>
  <c r="J4" i="9"/>
  <c r="I4" i="9"/>
  <c r="H4" i="9"/>
  <c r="K3" i="9"/>
  <c r="J3" i="9"/>
  <c r="I3" i="9"/>
  <c r="H3" i="9"/>
  <c r="K2" i="9"/>
  <c r="J2" i="9"/>
  <c r="H2" i="9"/>
  <c r="I2" i="9" s="1"/>
  <c r="I537" i="9"/>
  <c r="I538" i="9"/>
  <c r="K537" i="9"/>
  <c r="J538" i="9"/>
  <c r="K538" i="9"/>
  <c r="H538" i="9"/>
  <c r="J537" i="9"/>
  <c r="H537" i="9"/>
  <c r="J536" i="9"/>
  <c r="K536" i="9"/>
  <c r="H536" i="9"/>
  <c r="G407" i="9"/>
  <c r="G506" i="9"/>
  <c r="G227" i="9"/>
  <c r="G518" i="9"/>
  <c r="G341" i="9"/>
  <c r="G395" i="9"/>
  <c r="G299" i="9"/>
  <c r="G218" i="9"/>
  <c r="G242" i="9"/>
  <c r="G392" i="9"/>
  <c r="G131" i="9"/>
  <c r="G173" i="9"/>
  <c r="G413" i="9"/>
  <c r="G239" i="9"/>
  <c r="G305" i="9"/>
  <c r="G515" i="9"/>
  <c r="G590" i="9"/>
  <c r="G581" i="9"/>
  <c r="G326" i="9"/>
  <c r="G572" i="9"/>
  <c r="G440" i="9"/>
  <c r="G152" i="9"/>
  <c r="G302" i="9"/>
  <c r="G161" i="9"/>
  <c r="G338" i="9"/>
  <c r="G194" i="9"/>
  <c r="G434" i="9"/>
  <c r="G248" i="9"/>
  <c r="G332" i="9"/>
  <c r="G125" i="9"/>
  <c r="G575" i="9"/>
  <c r="G212" i="9"/>
  <c r="G437" i="9"/>
  <c r="G467" i="9"/>
  <c r="G308" i="9"/>
  <c r="G197" i="9"/>
  <c r="G593" i="9"/>
  <c r="G428" i="9"/>
  <c r="G155" i="9"/>
  <c r="G209" i="9"/>
  <c r="G584" i="9"/>
  <c r="G527" i="9"/>
  <c r="G89" i="9"/>
  <c r="G524" i="9"/>
  <c r="G422" i="9"/>
  <c r="G512" i="9"/>
  <c r="G158" i="9"/>
  <c r="G503" i="9"/>
  <c r="G272" i="9"/>
  <c r="G80" i="9"/>
  <c r="G254" i="9"/>
  <c r="G362" i="9"/>
  <c r="G62" i="9"/>
  <c r="G359" i="9"/>
  <c r="G545" i="9"/>
  <c r="G347" i="9"/>
  <c r="G539" i="9"/>
  <c r="G536" i="9"/>
  <c r="G530" i="9"/>
  <c r="G167" i="9"/>
  <c r="G356" i="9"/>
  <c r="G203" i="9"/>
  <c r="G38" i="9"/>
  <c r="G32" i="9"/>
  <c r="G17" i="9"/>
  <c r="G5" i="9"/>
  <c r="G2" i="9"/>
  <c r="A514" i="9"/>
  <c r="A513" i="9"/>
  <c r="A512" i="9"/>
  <c r="A196" i="9"/>
  <c r="A195" i="9"/>
  <c r="A194" i="9"/>
  <c r="A310" i="9"/>
  <c r="A309" i="9"/>
  <c r="A308" i="9"/>
  <c r="A361" i="9"/>
  <c r="A360" i="9"/>
  <c r="A359" i="9"/>
  <c r="A529" i="9"/>
  <c r="A528" i="9"/>
  <c r="A527" i="9"/>
  <c r="A364" i="9"/>
  <c r="A363" i="9"/>
  <c r="A362" i="9"/>
  <c r="A163" i="9"/>
  <c r="A162" i="9"/>
  <c r="A161" i="9"/>
  <c r="A304" i="9"/>
  <c r="A303" i="9"/>
  <c r="A302" i="9"/>
  <c r="J593" i="9"/>
  <c r="K593" i="9"/>
  <c r="I594" i="9"/>
  <c r="J594" i="9"/>
  <c r="K594" i="9"/>
  <c r="J595" i="9"/>
  <c r="H594" i="9"/>
  <c r="H595" i="9"/>
  <c r="A595" i="9"/>
  <c r="A594" i="9"/>
  <c r="A593" i="9"/>
  <c r="J197" i="9"/>
  <c r="K197" i="9"/>
  <c r="J198" i="9"/>
  <c r="K198" i="9"/>
  <c r="J199" i="9"/>
  <c r="K199" i="9"/>
  <c r="H198" i="9"/>
  <c r="I198" i="9" s="1"/>
  <c r="H199" i="9"/>
  <c r="H197" i="9"/>
  <c r="A199" i="9"/>
  <c r="A198" i="9"/>
  <c r="A197" i="9"/>
  <c r="I572" i="9"/>
  <c r="J572" i="9"/>
  <c r="K572" i="9"/>
  <c r="I574" i="9"/>
  <c r="H573" i="9"/>
  <c r="I573" i="9" s="1"/>
  <c r="H574" i="9"/>
  <c r="H572" i="9"/>
  <c r="A574" i="9"/>
  <c r="A573" i="9"/>
  <c r="A572" i="9"/>
  <c r="B8" i="3"/>
  <c r="B20" i="3" s="1"/>
  <c r="B32" i="3" s="1"/>
  <c r="B44" i="3" s="1"/>
  <c r="B56" i="3" s="1"/>
  <c r="F62" i="4"/>
  <c r="H327" i="9"/>
  <c r="I327" i="9"/>
  <c r="H328" i="9"/>
  <c r="I328" i="9" s="1"/>
  <c r="I326" i="9"/>
  <c r="J326" i="9"/>
  <c r="K326" i="9"/>
  <c r="H326" i="9"/>
  <c r="A328" i="9"/>
  <c r="A327" i="9"/>
  <c r="A326" i="9"/>
  <c r="J89" i="9"/>
  <c r="K89" i="9"/>
  <c r="J90" i="9"/>
  <c r="K90" i="9"/>
  <c r="J91" i="9"/>
  <c r="K91" i="9"/>
  <c r="H90" i="9"/>
  <c r="H91" i="9"/>
  <c r="H89" i="9"/>
  <c r="A334" i="9"/>
  <c r="A333" i="9"/>
  <c r="A332" i="9"/>
  <c r="A274" i="9"/>
  <c r="A273" i="9"/>
  <c r="A272" i="9"/>
  <c r="A436" i="9"/>
  <c r="A435" i="9"/>
  <c r="A434" i="9"/>
  <c r="A541" i="9"/>
  <c r="A540" i="9"/>
  <c r="A539" i="9"/>
  <c r="A349" i="9"/>
  <c r="A348" i="9"/>
  <c r="A347" i="9"/>
  <c r="A442" i="9"/>
  <c r="A441" i="9"/>
  <c r="A440" i="9"/>
  <c r="A82" i="9"/>
  <c r="A81" i="9"/>
  <c r="A80" i="9"/>
  <c r="A439" i="9"/>
  <c r="A438" i="9"/>
  <c r="A437" i="9"/>
  <c r="A205" i="9"/>
  <c r="A204" i="9"/>
  <c r="A203" i="9"/>
  <c r="A592" i="9"/>
  <c r="A591" i="9"/>
  <c r="A590" i="9"/>
  <c r="A341" i="9"/>
  <c r="A342" i="9"/>
  <c r="A343" i="9"/>
  <c r="A167" i="9"/>
  <c r="A168" i="9"/>
  <c r="A169" i="9"/>
  <c r="A422" i="9"/>
  <c r="A423" i="9"/>
  <c r="A424" i="9"/>
  <c r="A152" i="9"/>
  <c r="A153" i="9"/>
  <c r="A154" i="9"/>
  <c r="A467" i="9"/>
  <c r="A468" i="9"/>
  <c r="A469" i="9"/>
  <c r="A38" i="9"/>
  <c r="A39" i="9"/>
  <c r="A40" i="9"/>
  <c r="A242" i="9"/>
  <c r="A243" i="9"/>
  <c r="A244" i="9"/>
  <c r="A338" i="9"/>
  <c r="A339" i="9"/>
  <c r="A340" i="9"/>
  <c r="A518" i="9"/>
  <c r="A519" i="9"/>
  <c r="A520" i="9"/>
  <c r="A209" i="9"/>
  <c r="A210" i="9"/>
  <c r="A211" i="9"/>
  <c r="A227" i="9"/>
  <c r="A228" i="9"/>
  <c r="A229" i="9"/>
  <c r="A59" i="9"/>
  <c r="A60" i="9"/>
  <c r="A61" i="9"/>
  <c r="A506" i="9"/>
  <c r="A507" i="9"/>
  <c r="A508" i="9"/>
  <c r="A131" i="9"/>
  <c r="A132" i="9"/>
  <c r="A133" i="9"/>
  <c r="A407" i="9"/>
  <c r="A408" i="9"/>
  <c r="A409" i="9"/>
  <c r="A101" i="9"/>
  <c r="A102" i="9"/>
  <c r="A103" i="9"/>
  <c r="A548" i="9"/>
  <c r="A549" i="9"/>
  <c r="A550" i="9"/>
  <c r="A452" i="9"/>
  <c r="A453" i="9"/>
  <c r="A454" i="9"/>
  <c r="A182" i="9"/>
  <c r="A183" i="9"/>
  <c r="A184" i="9"/>
  <c r="A368" i="9"/>
  <c r="A369" i="9"/>
  <c r="A370" i="9"/>
  <c r="A257" i="9"/>
  <c r="A258" i="9"/>
  <c r="A259" i="9"/>
  <c r="A371" i="9"/>
  <c r="A372" i="9"/>
  <c r="A373" i="9"/>
  <c r="A74" i="9"/>
  <c r="A75" i="9"/>
  <c r="A76" i="9"/>
  <c r="A77" i="9"/>
  <c r="A78" i="9"/>
  <c r="A79" i="9"/>
  <c r="A176" i="9"/>
  <c r="A177" i="9"/>
  <c r="A178" i="9"/>
  <c r="A551" i="9"/>
  <c r="A552" i="9"/>
  <c r="A553" i="9"/>
  <c r="A404" i="9"/>
  <c r="A405" i="9"/>
  <c r="A406" i="9"/>
  <c r="A374" i="9"/>
  <c r="A375" i="9"/>
  <c r="A376" i="9"/>
  <c r="K595" i="9"/>
  <c r="I89" i="9"/>
  <c r="I545" i="9"/>
  <c r="I530" i="9"/>
  <c r="I80" i="9"/>
  <c r="I359" i="9"/>
  <c r="I536" i="9"/>
  <c r="I595" i="9"/>
  <c r="I199" i="9"/>
  <c r="I203" i="9"/>
  <c r="I204" i="9"/>
  <c r="I272" i="9"/>
  <c r="I197" i="9"/>
  <c r="I91" i="9"/>
  <c r="I347" i="9"/>
  <c r="I254" i="9"/>
  <c r="I356" i="9"/>
  <c r="I362" i="9"/>
  <c r="L131" i="9"/>
  <c r="A91" i="9"/>
  <c r="A90" i="9"/>
  <c r="A89" i="9"/>
  <c r="A125" i="9"/>
  <c r="A126" i="9"/>
  <c r="A127" i="9"/>
  <c r="A212" i="9"/>
  <c r="A213" i="9"/>
  <c r="A214" i="9"/>
  <c r="A536" i="9"/>
  <c r="A537" i="9"/>
  <c r="A538" i="9"/>
  <c r="A581" i="9"/>
  <c r="A582" i="9"/>
  <c r="A583" i="9"/>
  <c r="A545" i="9"/>
  <c r="A546" i="9"/>
  <c r="A547" i="9"/>
  <c r="A155" i="9"/>
  <c r="A156" i="9"/>
  <c r="A157" i="9"/>
  <c r="A395" i="9"/>
  <c r="A396" i="9"/>
  <c r="A397" i="9"/>
  <c r="A173" i="9"/>
  <c r="A174" i="9"/>
  <c r="A175" i="9"/>
  <c r="A19" i="9"/>
  <c r="A18" i="9"/>
  <c r="A17" i="9"/>
  <c r="A34" i="9"/>
  <c r="A33" i="9"/>
  <c r="A32" i="9"/>
  <c r="A415" i="9"/>
  <c r="A414" i="9"/>
  <c r="A413" i="9"/>
  <c r="A250" i="9"/>
  <c r="A249" i="9"/>
  <c r="A248" i="9"/>
  <c r="A241" i="9"/>
  <c r="A240" i="9"/>
  <c r="A239" i="9"/>
  <c r="A301" i="9"/>
  <c r="A300" i="9"/>
  <c r="A299" i="9"/>
  <c r="A160" i="9"/>
  <c r="A159" i="9"/>
  <c r="A158" i="9"/>
  <c r="A532" i="9"/>
  <c r="A531" i="9"/>
  <c r="A530" i="9"/>
  <c r="A256" i="9"/>
  <c r="A255" i="9"/>
  <c r="A254" i="9"/>
  <c r="A505" i="9"/>
  <c r="A504" i="9"/>
  <c r="A503" i="9"/>
  <c r="A358" i="9"/>
  <c r="A357" i="9"/>
  <c r="A356" i="9"/>
  <c r="A220" i="9"/>
  <c r="A219" i="9"/>
  <c r="A218" i="9"/>
  <c r="A394" i="9"/>
  <c r="A393" i="9"/>
  <c r="A392" i="9"/>
  <c r="A526" i="9"/>
  <c r="A525" i="9"/>
  <c r="A524" i="9"/>
  <c r="A517" i="9"/>
  <c r="A516" i="9"/>
  <c r="A515" i="9"/>
  <c r="A577" i="9"/>
  <c r="A576" i="9"/>
  <c r="A575" i="9"/>
  <c r="A586" i="9"/>
  <c r="A585" i="9"/>
  <c r="A584" i="9"/>
  <c r="A64" i="9"/>
  <c r="A63" i="9"/>
  <c r="A62" i="9"/>
  <c r="A430" i="9"/>
  <c r="A429" i="9"/>
  <c r="A428" i="9"/>
  <c r="A7" i="9"/>
  <c r="A6" i="9"/>
  <c r="A5" i="9"/>
  <c r="A4" i="9"/>
  <c r="A3" i="9"/>
  <c r="A2" i="9"/>
  <c r="A307" i="9"/>
  <c r="A306" i="9"/>
  <c r="A305" i="9"/>
  <c r="F77" i="7"/>
  <c r="F74" i="7"/>
  <c r="F71" i="7"/>
  <c r="F65" i="7"/>
  <c r="F59" i="7"/>
  <c r="S56" i="7" s="1"/>
  <c r="F53" i="7"/>
  <c r="F50" i="7"/>
  <c r="F47" i="7"/>
  <c r="F41" i="7"/>
  <c r="F38" i="7"/>
  <c r="R38" i="7" s="1"/>
  <c r="F35" i="7"/>
  <c r="F32" i="7" s="1"/>
  <c r="F29" i="7"/>
  <c r="F26" i="7"/>
  <c r="F23" i="7"/>
  <c r="F17" i="7"/>
  <c r="F14" i="7"/>
  <c r="F11" i="7"/>
  <c r="F8" i="7" s="1"/>
  <c r="F77" i="6"/>
  <c r="F74" i="6"/>
  <c r="K74" i="6" s="1"/>
  <c r="F71" i="6"/>
  <c r="F68" i="6" s="1"/>
  <c r="F65" i="6"/>
  <c r="F59" i="6"/>
  <c r="F56" i="6" s="1"/>
  <c r="F53" i="6"/>
  <c r="F50" i="6"/>
  <c r="S50" i="6" s="1"/>
  <c r="F47" i="6"/>
  <c r="F44" i="6" s="1"/>
  <c r="F41" i="6"/>
  <c r="F38" i="6"/>
  <c r="F35" i="6"/>
  <c r="F32" i="6" s="1"/>
  <c r="F29" i="6"/>
  <c r="F26" i="6"/>
  <c r="F23" i="6"/>
  <c r="F20" i="6" s="1"/>
  <c r="F17" i="6"/>
  <c r="F14" i="6"/>
  <c r="F11" i="6"/>
  <c r="S8" i="6" s="1"/>
  <c r="F77" i="5"/>
  <c r="F74" i="5"/>
  <c r="S74" i="5" s="1"/>
  <c r="F71" i="5"/>
  <c r="S68" i="5" s="1"/>
  <c r="F77" i="4"/>
  <c r="F74" i="4"/>
  <c r="F71" i="4"/>
  <c r="F77" i="3"/>
  <c r="F74" i="3"/>
  <c r="F71" i="3"/>
  <c r="F68" i="3" s="1"/>
  <c r="O68" i="3" s="1"/>
  <c r="A5" i="1"/>
  <c r="A6" i="1" s="1"/>
  <c r="B6" i="1" s="1"/>
  <c r="N4" i="13" s="1"/>
  <c r="N17" i="13" s="1"/>
  <c r="N30" i="13" s="1"/>
  <c r="N43" i="13" s="1"/>
  <c r="N56" i="13" s="1"/>
  <c r="A4" i="1"/>
  <c r="B4" i="1" s="1"/>
  <c r="F65" i="5"/>
  <c r="F62" i="5"/>
  <c r="S62" i="5" s="1"/>
  <c r="J52" i="5"/>
  <c r="F47" i="5"/>
  <c r="F35" i="5"/>
  <c r="F29" i="5"/>
  <c r="F26" i="5"/>
  <c r="F23" i="5"/>
  <c r="F20" i="5" s="1"/>
  <c r="F17" i="5"/>
  <c r="F14" i="5"/>
  <c r="S14" i="5" s="1"/>
  <c r="F11" i="5"/>
  <c r="F65" i="4"/>
  <c r="F59" i="4"/>
  <c r="F53" i="4"/>
  <c r="F50" i="4"/>
  <c r="F47" i="4"/>
  <c r="F44" i="4" s="1"/>
  <c r="F41" i="4"/>
  <c r="F38" i="4"/>
  <c r="F35" i="4"/>
  <c r="F32" i="4" s="1"/>
  <c r="F29" i="4"/>
  <c r="F26" i="4"/>
  <c r="S26" i="4" s="1"/>
  <c r="F23" i="4"/>
  <c r="F20" i="4" s="1"/>
  <c r="F17" i="4"/>
  <c r="F14" i="4"/>
  <c r="F11" i="4"/>
  <c r="F17" i="3"/>
  <c r="F65" i="3"/>
  <c r="F62" i="3"/>
  <c r="F59" i="3"/>
  <c r="F56" i="3" s="1"/>
  <c r="R56" i="3" s="1"/>
  <c r="F53" i="3"/>
  <c r="F50" i="3"/>
  <c r="F47" i="3"/>
  <c r="S44" i="3" s="1"/>
  <c r="F41" i="3"/>
  <c r="F38" i="3"/>
  <c r="R38" i="3" s="1"/>
  <c r="F35" i="3"/>
  <c r="F32" i="3" s="1"/>
  <c r="F29" i="3"/>
  <c r="F26" i="3"/>
  <c r="F23" i="3"/>
  <c r="F56" i="4"/>
  <c r="A7" i="1"/>
  <c r="B7" i="1" s="1"/>
  <c r="R4" i="13" s="1"/>
  <c r="R17" i="13" s="1"/>
  <c r="R30" i="13" s="1"/>
  <c r="R43" i="13" s="1"/>
  <c r="R56" i="13" s="1"/>
  <c r="R38" i="5"/>
  <c r="S74" i="7"/>
  <c r="S26" i="7"/>
  <c r="S68" i="4"/>
  <c r="S26" i="3"/>
  <c r="S44" i="7"/>
  <c r="S44" i="5"/>
  <c r="S62" i="4"/>
  <c r="S56" i="6"/>
  <c r="S26" i="5"/>
  <c r="S56" i="4"/>
  <c r="S68" i="7"/>
  <c r="S20" i="7"/>
  <c r="S62" i="6"/>
  <c r="S20" i="3"/>
  <c r="S68" i="3"/>
  <c r="S20" i="5"/>
  <c r="S50" i="3"/>
  <c r="S14" i="4"/>
  <c r="S32" i="7" l="1"/>
  <c r="S74" i="6"/>
  <c r="P308" i="9"/>
  <c r="S32" i="4"/>
  <c r="S32" i="3"/>
  <c r="B5" i="1"/>
  <c r="J4" i="13" s="1"/>
  <c r="J17" i="13" s="1"/>
  <c r="J30" i="13" s="1"/>
  <c r="J43" i="13" s="1"/>
  <c r="J56" i="13" s="1"/>
  <c r="Q74" i="5"/>
  <c r="Q74" i="7"/>
  <c r="R200" i="9"/>
  <c r="O260" i="9"/>
  <c r="L554" i="9"/>
  <c r="P554" i="9"/>
  <c r="L185" i="9"/>
  <c r="M446" i="9"/>
  <c r="M182" i="9"/>
  <c r="O557" i="9"/>
  <c r="N566" i="9"/>
  <c r="R386" i="9"/>
  <c r="N386" i="9"/>
  <c r="M461" i="9"/>
  <c r="R281" i="9"/>
  <c r="N281" i="9"/>
  <c r="A8" i="1"/>
  <c r="B8" i="1" s="1"/>
  <c r="V4" i="13" s="1"/>
  <c r="V17" i="13" s="1"/>
  <c r="V30" i="13" s="1"/>
  <c r="V43" i="13" s="1"/>
  <c r="V56" i="13" s="1"/>
  <c r="G26" i="3"/>
  <c r="I12" i="13" s="1"/>
  <c r="P74" i="4"/>
  <c r="L74" i="3"/>
  <c r="L74" i="6"/>
  <c r="L74" i="4"/>
  <c r="F20" i="3"/>
  <c r="J21" i="3" s="1"/>
  <c r="P74" i="3"/>
  <c r="O74" i="6"/>
  <c r="Q74" i="6"/>
  <c r="L551" i="9"/>
  <c r="N260" i="9"/>
  <c r="R260" i="9"/>
  <c r="M386" i="9"/>
  <c r="R566" i="9"/>
  <c r="N257" i="9"/>
  <c r="P446" i="9"/>
  <c r="L446" i="9"/>
  <c r="R419" i="9"/>
  <c r="N419" i="9"/>
  <c r="O419" i="9"/>
  <c r="Q446" i="9"/>
  <c r="Q281" i="9"/>
  <c r="M257" i="9"/>
  <c r="R293" i="9"/>
  <c r="P293" i="9"/>
  <c r="N293" i="9"/>
  <c r="L293" i="9"/>
  <c r="P329" i="9"/>
  <c r="M329" i="9"/>
  <c r="R176" i="9"/>
  <c r="P176" i="9"/>
  <c r="N464" i="9"/>
  <c r="L464" i="9"/>
  <c r="Q230" i="9"/>
  <c r="R461" i="9"/>
  <c r="P461" i="9"/>
  <c r="N317" i="9"/>
  <c r="P368" i="9"/>
  <c r="L431" i="9"/>
  <c r="O368" i="9"/>
  <c r="O176" i="9"/>
  <c r="P188" i="9"/>
  <c r="R389" i="9"/>
  <c r="P386" i="9"/>
  <c r="N389" i="9"/>
  <c r="O374" i="9"/>
  <c r="N200" i="9"/>
  <c r="L200" i="9"/>
  <c r="R494" i="9"/>
  <c r="P578" i="9"/>
  <c r="N494" i="9"/>
  <c r="L578" i="9"/>
  <c r="Q494" i="9"/>
  <c r="R449" i="9"/>
  <c r="M353" i="9"/>
  <c r="N383" i="9"/>
  <c r="P431" i="9"/>
  <c r="N461" i="9"/>
  <c r="Q431" i="9"/>
  <c r="O461" i="9"/>
  <c r="R182" i="9"/>
  <c r="R563" i="9"/>
  <c r="O554" i="9"/>
  <c r="N224" i="9"/>
  <c r="R311" i="9"/>
  <c r="P311" i="9"/>
  <c r="N311" i="9"/>
  <c r="Q587" i="9"/>
  <c r="O587" i="9"/>
  <c r="M587" i="9"/>
  <c r="P317" i="9"/>
  <c r="L317" i="9"/>
  <c r="O431" i="9"/>
  <c r="R368" i="9"/>
  <c r="N368" i="9"/>
  <c r="Q188" i="9"/>
  <c r="Q389" i="9"/>
  <c r="O386" i="9"/>
  <c r="M389" i="9"/>
  <c r="N374" i="9"/>
  <c r="R110" i="9"/>
  <c r="P110" i="9"/>
  <c r="N110" i="9"/>
  <c r="L110" i="9"/>
  <c r="Q263" i="9"/>
  <c r="Q185" i="9"/>
  <c r="O263" i="9"/>
  <c r="O182" i="9"/>
  <c r="O317" i="9"/>
  <c r="O185" i="9"/>
  <c r="L263" i="9"/>
  <c r="L461" i="9"/>
  <c r="Q563" i="9"/>
  <c r="O563" i="9"/>
  <c r="Q176" i="9"/>
  <c r="Q221" i="9"/>
  <c r="O224" i="9"/>
  <c r="O221" i="9"/>
  <c r="M230" i="9"/>
  <c r="M176" i="9"/>
  <c r="M221" i="9"/>
  <c r="Q500" i="9"/>
  <c r="Q578" i="9"/>
  <c r="O500" i="9"/>
  <c r="M500" i="9"/>
  <c r="M578" i="9"/>
  <c r="R497" i="9"/>
  <c r="R500" i="9"/>
  <c r="P497" i="9"/>
  <c r="P494" i="9"/>
  <c r="N497" i="9"/>
  <c r="N500" i="9"/>
  <c r="L497" i="9"/>
  <c r="L494" i="9"/>
  <c r="S494" i="9" s="1"/>
  <c r="L434" i="9"/>
  <c r="N173" i="9"/>
  <c r="N407" i="9"/>
  <c r="Q566" i="9"/>
  <c r="Q551" i="9"/>
  <c r="M566" i="9"/>
  <c r="M551" i="9"/>
  <c r="P566" i="9"/>
  <c r="P563" i="9"/>
  <c r="L566" i="9"/>
  <c r="L563" i="9"/>
  <c r="R257" i="9"/>
  <c r="Q311" i="9"/>
  <c r="O311" i="9"/>
  <c r="P224" i="9"/>
  <c r="P182" i="9"/>
  <c r="L224" i="9"/>
  <c r="L182" i="9"/>
  <c r="S182" i="9" s="1"/>
  <c r="R587" i="9"/>
  <c r="P587" i="9"/>
  <c r="N587" i="9"/>
  <c r="L587" i="9"/>
  <c r="M263" i="9"/>
  <c r="R569" i="9"/>
  <c r="P569" i="9"/>
  <c r="N569" i="9"/>
  <c r="L569" i="9"/>
  <c r="L311" i="9"/>
  <c r="S311" i="9" s="1"/>
  <c r="S350" i="9"/>
  <c r="Q293" i="9"/>
  <c r="O293" i="9"/>
  <c r="M293" i="9"/>
  <c r="R263" i="9"/>
  <c r="P263" i="9"/>
  <c r="N263" i="9"/>
  <c r="M14" i="6" s="1"/>
  <c r="Q110" i="9"/>
  <c r="O110" i="9"/>
  <c r="M110" i="9"/>
  <c r="Q497" i="9"/>
  <c r="O497" i="9"/>
  <c r="M497" i="9"/>
  <c r="Q569" i="9"/>
  <c r="O569" i="9"/>
  <c r="M569" i="9"/>
  <c r="G67" i="3"/>
  <c r="U16" i="13" s="1"/>
  <c r="G43" i="3"/>
  <c r="M16" i="13" s="1"/>
  <c r="I37" i="3"/>
  <c r="H31" i="4"/>
  <c r="S386" i="9"/>
  <c r="S560" i="9"/>
  <c r="M92" i="9"/>
  <c r="N335" i="9"/>
  <c r="N284" i="9"/>
  <c r="N449" i="9"/>
  <c r="R329" i="9"/>
  <c r="O86" i="9"/>
  <c r="I53" i="3"/>
  <c r="G65" i="4"/>
  <c r="U27" i="13" s="1"/>
  <c r="J53" i="5"/>
  <c r="I69" i="6"/>
  <c r="Y47" i="13" s="1"/>
  <c r="G77" i="5"/>
  <c r="Y40" i="13" s="1"/>
  <c r="H52" i="3"/>
  <c r="Q245" i="9"/>
  <c r="R314" i="9"/>
  <c r="P218" i="9"/>
  <c r="L299" i="9"/>
  <c r="M416" i="9"/>
  <c r="L56" i="6" s="1"/>
  <c r="R26" i="9"/>
  <c r="S566" i="9"/>
  <c r="Q92" i="9"/>
  <c r="M284" i="9"/>
  <c r="M449" i="9"/>
  <c r="I75" i="6"/>
  <c r="Q377" i="9"/>
  <c r="M410" i="9"/>
  <c r="P26" i="9"/>
  <c r="Q329" i="9"/>
  <c r="R488" i="9"/>
  <c r="R167" i="9"/>
  <c r="M125" i="9"/>
  <c r="O248" i="9"/>
  <c r="O338" i="9"/>
  <c r="N581" i="9"/>
  <c r="O113" i="9"/>
  <c r="N479" i="9"/>
  <c r="O68" i="9"/>
  <c r="G42" i="3"/>
  <c r="M15" i="13" s="1"/>
  <c r="I36" i="3"/>
  <c r="H33" i="3"/>
  <c r="G79" i="3"/>
  <c r="Y16" i="13" s="1"/>
  <c r="G76" i="3"/>
  <c r="Y13" i="13" s="1"/>
  <c r="P581" i="9"/>
  <c r="M305" i="9"/>
  <c r="R365" i="9"/>
  <c r="M344" i="9"/>
  <c r="M458" i="9"/>
  <c r="M113" i="9"/>
  <c r="M170" i="9"/>
  <c r="L479" i="9"/>
  <c r="Q533" i="9"/>
  <c r="L251" i="9"/>
  <c r="Q353" i="9"/>
  <c r="J25" i="3"/>
  <c r="J49" i="3"/>
  <c r="G47" i="4"/>
  <c r="H25" i="5"/>
  <c r="J77" i="5"/>
  <c r="P74" i="6"/>
  <c r="N74" i="3"/>
  <c r="Q74" i="4"/>
  <c r="F56" i="7"/>
  <c r="G58" i="7" s="1"/>
  <c r="U58" i="13" s="1"/>
  <c r="I62" i="3"/>
  <c r="F44" i="5"/>
  <c r="G46" i="5" s="1"/>
  <c r="Q32" i="13" s="1"/>
  <c r="G56" i="4"/>
  <c r="U17" i="13" s="1"/>
  <c r="Q86" i="9"/>
  <c r="H31" i="3"/>
  <c r="N101" i="9"/>
  <c r="O29" i="9"/>
  <c r="N32" i="6" s="1"/>
  <c r="Q254" i="9"/>
  <c r="N122" i="9"/>
  <c r="O266" i="9"/>
  <c r="M20" i="9"/>
  <c r="Q542" i="9"/>
  <c r="O143" i="9"/>
  <c r="G63" i="3"/>
  <c r="U12" i="13" s="1"/>
  <c r="J74" i="3"/>
  <c r="H22" i="4"/>
  <c r="F44" i="7"/>
  <c r="G46" i="7" s="1"/>
  <c r="Q58" i="13" s="1"/>
  <c r="G49" i="5"/>
  <c r="J48" i="3"/>
  <c r="F44" i="3"/>
  <c r="G45" i="3" s="1"/>
  <c r="Q5" i="13" s="1"/>
  <c r="N74" i="7"/>
  <c r="H23" i="3"/>
  <c r="N74" i="4"/>
  <c r="F68" i="4"/>
  <c r="J69" i="4" s="1"/>
  <c r="K14" i="6"/>
  <c r="J55" i="4"/>
  <c r="H55" i="4"/>
  <c r="J54" i="4"/>
  <c r="H54" i="4"/>
  <c r="J53" i="4"/>
  <c r="H53" i="4"/>
  <c r="I55" i="4"/>
  <c r="G55" i="4"/>
  <c r="Q29" i="13" s="1"/>
  <c r="I54" i="4"/>
  <c r="G54" i="4"/>
  <c r="Q28" i="13" s="1"/>
  <c r="I53" i="4"/>
  <c r="G53" i="4"/>
  <c r="Q25" i="13" s="1"/>
  <c r="J52" i="4"/>
  <c r="H52" i="4"/>
  <c r="J51" i="4"/>
  <c r="H51" i="4"/>
  <c r="J50" i="4"/>
  <c r="I52" i="4"/>
  <c r="G52" i="4"/>
  <c r="Q26" i="13" s="1"/>
  <c r="I51" i="4"/>
  <c r="G51" i="4"/>
  <c r="Q27" i="13" s="1"/>
  <c r="I50" i="4"/>
  <c r="G50" i="4"/>
  <c r="Q24" i="13" s="1"/>
  <c r="A9" i="1"/>
  <c r="Q68" i="3"/>
  <c r="N68" i="3"/>
  <c r="L68" i="3"/>
  <c r="P68" i="3"/>
  <c r="F8" i="4"/>
  <c r="J10" i="4" s="1"/>
  <c r="S557" i="9"/>
  <c r="M335" i="9"/>
  <c r="N485" i="9"/>
  <c r="S296" i="9"/>
  <c r="O347" i="9"/>
  <c r="Q197" i="9"/>
  <c r="O536" i="9"/>
  <c r="Q59" i="9"/>
  <c r="N527" i="9"/>
  <c r="O467" i="9"/>
  <c r="O437" i="9"/>
  <c r="M575" i="9"/>
  <c r="Q194" i="9"/>
  <c r="P338" i="9"/>
  <c r="P302" i="9"/>
  <c r="O413" i="9"/>
  <c r="Q173" i="9"/>
  <c r="R392" i="9"/>
  <c r="P299" i="9"/>
  <c r="R518" i="9"/>
  <c r="O506" i="9"/>
  <c r="L353" i="9"/>
  <c r="S578" i="9"/>
  <c r="I74" i="9"/>
  <c r="L74" i="9" s="1"/>
  <c r="O542" i="9"/>
  <c r="G75" i="5"/>
  <c r="Y38" i="13" s="1"/>
  <c r="N362" i="9"/>
  <c r="G22" i="4"/>
  <c r="I19" i="13" s="1"/>
  <c r="I51" i="5"/>
  <c r="H20" i="4"/>
  <c r="I50" i="5"/>
  <c r="J20" i="4"/>
  <c r="G69" i="3"/>
  <c r="Y5" i="13" s="1"/>
  <c r="H44" i="4"/>
  <c r="J56" i="4"/>
  <c r="H68" i="6"/>
  <c r="G21" i="5"/>
  <c r="I31" i="13" s="1"/>
  <c r="H66" i="3"/>
  <c r="G62" i="3"/>
  <c r="U11" i="13" s="1"/>
  <c r="G73" i="3"/>
  <c r="J14" i="3"/>
  <c r="I41" i="3"/>
  <c r="G53" i="3"/>
  <c r="Q13" i="13" s="1"/>
  <c r="G54" i="3"/>
  <c r="Q15" i="13" s="1"/>
  <c r="G24" i="3"/>
  <c r="G37" i="3"/>
  <c r="I29" i="3"/>
  <c r="J30" i="3"/>
  <c r="G78" i="3"/>
  <c r="Y15" i="13" s="1"/>
  <c r="J61" i="3"/>
  <c r="H76" i="3"/>
  <c r="J19" i="3"/>
  <c r="H49" i="3"/>
  <c r="J67" i="4"/>
  <c r="G79" i="6"/>
  <c r="Y55" i="13" s="1"/>
  <c r="J65" i="4"/>
  <c r="H75" i="6"/>
  <c r="J71" i="6"/>
  <c r="G48" i="4"/>
  <c r="J62" i="4"/>
  <c r="N575" i="9"/>
  <c r="L440" i="9"/>
  <c r="R440" i="9"/>
  <c r="N95" i="9"/>
  <c r="N89" i="9"/>
  <c r="P272" i="9"/>
  <c r="O203" i="9"/>
  <c r="P545" i="9"/>
  <c r="M197" i="9"/>
  <c r="R38" i="9"/>
  <c r="Q167" i="9"/>
  <c r="N539" i="9"/>
  <c r="Q347" i="9"/>
  <c r="N62" i="9"/>
  <c r="R80" i="9"/>
  <c r="O503" i="9"/>
  <c r="Q512" i="9"/>
  <c r="O422" i="9"/>
  <c r="P584" i="9"/>
  <c r="L209" i="9"/>
  <c r="N155" i="9"/>
  <c r="M428" i="9"/>
  <c r="P125" i="9"/>
  <c r="Q332" i="9"/>
  <c r="Q248" i="9"/>
  <c r="N338" i="9"/>
  <c r="P161" i="9"/>
  <c r="P440" i="9"/>
  <c r="O581" i="9"/>
  <c r="L515" i="9"/>
  <c r="R173" i="9"/>
  <c r="L341" i="9"/>
  <c r="O518" i="9"/>
  <c r="L506" i="9"/>
  <c r="L26" i="9"/>
  <c r="Q26" i="9"/>
  <c r="N26" i="9"/>
  <c r="R353" i="9"/>
  <c r="O353" i="9"/>
  <c r="P353" i="9"/>
  <c r="P92" i="9"/>
  <c r="Q335" i="9"/>
  <c r="P284" i="9"/>
  <c r="O14" i="6" s="1"/>
  <c r="Q449" i="9"/>
  <c r="O449" i="9"/>
  <c r="L449" i="9"/>
  <c r="N488" i="9"/>
  <c r="Q122" i="9"/>
  <c r="M122" i="9"/>
  <c r="L266" i="9"/>
  <c r="O605" i="9"/>
  <c r="I37" i="5"/>
  <c r="P167" i="9"/>
  <c r="R347" i="9"/>
  <c r="L512" i="9"/>
  <c r="S176" i="9"/>
  <c r="S551" i="9"/>
  <c r="S461" i="9"/>
  <c r="O89" i="9"/>
  <c r="N203" i="9"/>
  <c r="M167" i="9"/>
  <c r="P362" i="9"/>
  <c r="M254" i="9"/>
  <c r="R272" i="9"/>
  <c r="L467" i="9"/>
  <c r="M29" i="9"/>
  <c r="M8" i="9"/>
  <c r="Q380" i="9"/>
  <c r="M599" i="9"/>
  <c r="L269" i="9"/>
  <c r="M314" i="9"/>
  <c r="R158" i="9"/>
  <c r="N524" i="9"/>
  <c r="N212" i="9"/>
  <c r="O575" i="9"/>
  <c r="P575" i="9"/>
  <c r="M194" i="9"/>
  <c r="P413" i="9"/>
  <c r="L413" i="9"/>
  <c r="R131" i="9"/>
  <c r="O131" i="9"/>
  <c r="Q242" i="9"/>
  <c r="M242" i="9"/>
  <c r="R299" i="9"/>
  <c r="M299" i="9"/>
  <c r="Q299" i="9"/>
  <c r="R227" i="9"/>
  <c r="N227" i="9"/>
  <c r="L47" i="9"/>
  <c r="O47" i="9"/>
  <c r="L572" i="9"/>
  <c r="Q572" i="9"/>
  <c r="M356" i="9"/>
  <c r="N356" i="9"/>
  <c r="Q530" i="9"/>
  <c r="N359" i="9"/>
  <c r="R59" i="9"/>
  <c r="M59" i="9"/>
  <c r="G22" i="3"/>
  <c r="I6" i="13" s="1"/>
  <c r="I52" i="5"/>
  <c r="J21" i="4"/>
  <c r="I20" i="3"/>
  <c r="I7" i="13" s="1"/>
  <c r="I70" i="3"/>
  <c r="Y9" i="13" s="1"/>
  <c r="H68" i="3"/>
  <c r="J57" i="4"/>
  <c r="H58" i="4"/>
  <c r="I56" i="4"/>
  <c r="U20" i="13" s="1"/>
  <c r="I32" i="4"/>
  <c r="M20" i="13" s="1"/>
  <c r="J70" i="6"/>
  <c r="I21" i="5"/>
  <c r="I34" i="13" s="1"/>
  <c r="J20" i="5"/>
  <c r="I67" i="3"/>
  <c r="J62" i="3"/>
  <c r="I63" i="3"/>
  <c r="H62" i="3"/>
  <c r="I72" i="3"/>
  <c r="I73" i="3"/>
  <c r="I14" i="3"/>
  <c r="J42" i="3"/>
  <c r="H43" i="3"/>
  <c r="J41" i="3"/>
  <c r="I54" i="3"/>
  <c r="H53" i="3"/>
  <c r="J53" i="3"/>
  <c r="G23" i="3"/>
  <c r="J23" i="3"/>
  <c r="I24" i="3"/>
  <c r="J36" i="3"/>
  <c r="H37" i="3"/>
  <c r="J37" i="3"/>
  <c r="J26" i="3"/>
  <c r="H28" i="3"/>
  <c r="H29" i="3"/>
  <c r="G29" i="3"/>
  <c r="I11" i="13" s="1"/>
  <c r="J31" i="3"/>
  <c r="I79" i="3"/>
  <c r="J50" i="3"/>
  <c r="G59" i="3"/>
  <c r="I74" i="3"/>
  <c r="G75" i="3"/>
  <c r="Y12" i="13" s="1"/>
  <c r="J75" i="3"/>
  <c r="G19" i="3"/>
  <c r="E29" i="13" s="1"/>
  <c r="G18" i="3"/>
  <c r="E15" i="13" s="1"/>
  <c r="G49" i="3"/>
  <c r="I49" i="3"/>
  <c r="G48" i="3"/>
  <c r="J79" i="6"/>
  <c r="G14" i="5"/>
  <c r="E37" i="13" s="1"/>
  <c r="I15" i="5"/>
  <c r="I77" i="6"/>
  <c r="J37" i="5"/>
  <c r="G26" i="4"/>
  <c r="I26" i="13" s="1"/>
  <c r="I75" i="7"/>
  <c r="J74" i="6"/>
  <c r="I67" i="4"/>
  <c r="I30" i="4"/>
  <c r="G49" i="4"/>
  <c r="G75" i="7"/>
  <c r="Y64" i="13" s="1"/>
  <c r="G61" i="4"/>
  <c r="J71" i="4"/>
  <c r="I53" i="5"/>
  <c r="I75" i="4"/>
  <c r="I77" i="5"/>
  <c r="N347" i="9"/>
  <c r="R197" i="9"/>
  <c r="P62" i="9"/>
  <c r="N545" i="9"/>
  <c r="O158" i="9"/>
  <c r="Q524" i="9"/>
  <c r="P209" i="9"/>
  <c r="Q428" i="9"/>
  <c r="P467" i="9"/>
  <c r="R155" i="9"/>
  <c r="R362" i="9"/>
  <c r="L62" i="9"/>
  <c r="R371" i="9"/>
  <c r="P371" i="9"/>
  <c r="O608" i="9"/>
  <c r="L356" i="9"/>
  <c r="R254" i="9"/>
  <c r="N272" i="9"/>
  <c r="L380" i="9"/>
  <c r="R113" i="9"/>
  <c r="L20" i="9"/>
  <c r="P83" i="9"/>
  <c r="N401" i="9"/>
  <c r="R146" i="9"/>
  <c r="S185" i="9"/>
  <c r="Q314" i="9"/>
  <c r="P314" i="9"/>
  <c r="O314" i="9"/>
  <c r="N314" i="9"/>
  <c r="R269" i="9"/>
  <c r="Q269" i="9"/>
  <c r="P269" i="9"/>
  <c r="O269" i="9"/>
  <c r="N269" i="9"/>
  <c r="M269" i="9"/>
  <c r="S269" i="9" s="1"/>
  <c r="L542" i="9"/>
  <c r="H73" i="5"/>
  <c r="O323" i="9"/>
  <c r="N140" i="9"/>
  <c r="L476" i="9"/>
  <c r="M476" i="9"/>
  <c r="R404" i="9"/>
  <c r="Q404" i="9"/>
  <c r="O404" i="9"/>
  <c r="R443" i="9"/>
  <c r="N443" i="9"/>
  <c r="Q443" i="9"/>
  <c r="M443" i="9"/>
  <c r="L443" i="9"/>
  <c r="P443" i="9"/>
  <c r="O443" i="9"/>
  <c r="M548" i="9"/>
  <c r="M179" i="9"/>
  <c r="M455" i="9"/>
  <c r="N425" i="9"/>
  <c r="N380" i="9"/>
  <c r="M533" i="9"/>
  <c r="P233" i="9"/>
  <c r="Q521" i="9"/>
  <c r="L509" i="9"/>
  <c r="P398" i="9"/>
  <c r="L206" i="9"/>
  <c r="S389" i="9"/>
  <c r="S368" i="9"/>
  <c r="S431" i="9"/>
  <c r="S554" i="9"/>
  <c r="S224" i="9"/>
  <c r="G66" i="4"/>
  <c r="U28" i="13" s="1"/>
  <c r="J47" i="4"/>
  <c r="J29" i="4"/>
  <c r="J73" i="6"/>
  <c r="I37" i="4"/>
  <c r="J25" i="4"/>
  <c r="G23" i="5"/>
  <c r="I47" i="5"/>
  <c r="H37" i="4"/>
  <c r="I63" i="4"/>
  <c r="G79" i="7"/>
  <c r="Y68" i="13" s="1"/>
  <c r="J55" i="5"/>
  <c r="I75" i="5"/>
  <c r="J76" i="7"/>
  <c r="P617" i="9"/>
  <c r="P614" i="9"/>
  <c r="L602" i="9"/>
  <c r="P542" i="9"/>
  <c r="Q326" i="9"/>
  <c r="M326" i="9"/>
  <c r="L2" i="9"/>
  <c r="N2" i="9"/>
  <c r="L215" i="9"/>
  <c r="Q215" i="9"/>
  <c r="O215" i="9"/>
  <c r="R215" i="9"/>
  <c r="N326" i="9"/>
  <c r="Q62" i="9"/>
  <c r="R20" i="9"/>
  <c r="M377" i="9"/>
  <c r="L548" i="9"/>
  <c r="O179" i="9"/>
  <c r="P365" i="9"/>
  <c r="P344" i="9"/>
  <c r="L455" i="9"/>
  <c r="J35" i="5"/>
  <c r="G50" i="3"/>
  <c r="Q12" i="13" s="1"/>
  <c r="G67" i="4"/>
  <c r="U29" i="13" s="1"/>
  <c r="G72" i="5"/>
  <c r="J73" i="7"/>
  <c r="H74" i="5"/>
  <c r="J74" i="7"/>
  <c r="I26" i="4"/>
  <c r="J60" i="4"/>
  <c r="G55" i="5"/>
  <c r="Q42" i="13" s="1"/>
  <c r="H79" i="5"/>
  <c r="J78" i="7"/>
  <c r="G11" i="5"/>
  <c r="I28" i="4"/>
  <c r="J59" i="4"/>
  <c r="G62" i="4"/>
  <c r="U26" i="13" s="1"/>
  <c r="H16" i="5"/>
  <c r="G76" i="5"/>
  <c r="Y39" i="13" s="1"/>
  <c r="H48" i="5"/>
  <c r="G47" i="5"/>
  <c r="J72" i="4"/>
  <c r="I65" i="4"/>
  <c r="J26" i="4"/>
  <c r="G24" i="5"/>
  <c r="J72" i="6"/>
  <c r="I73" i="6"/>
  <c r="H61" i="4"/>
  <c r="G28" i="4"/>
  <c r="J79" i="4"/>
  <c r="G31" i="4"/>
  <c r="I29" i="13" s="1"/>
  <c r="H60" i="4"/>
  <c r="I71" i="6"/>
  <c r="H76" i="6"/>
  <c r="G75" i="6"/>
  <c r="Y51" i="13" s="1"/>
  <c r="I13" i="5"/>
  <c r="H62" i="4"/>
  <c r="G30" i="4"/>
  <c r="I28" i="13" s="1"/>
  <c r="H78" i="6"/>
  <c r="G77" i="6"/>
  <c r="Y53" i="13" s="1"/>
  <c r="H49" i="4"/>
  <c r="G25" i="5"/>
  <c r="I76" i="6"/>
  <c r="H48" i="4"/>
  <c r="I64" i="4"/>
  <c r="O362" i="9"/>
  <c r="L101" i="9"/>
  <c r="M452" i="9"/>
  <c r="R452" i="9"/>
  <c r="R245" i="9"/>
  <c r="P245" i="9"/>
  <c r="M245" i="9"/>
  <c r="S200" i="9"/>
  <c r="L335" i="9"/>
  <c r="P335" i="9"/>
  <c r="O335" i="9"/>
  <c r="R335" i="9"/>
  <c r="G68" i="6"/>
  <c r="Y43" i="13" s="1"/>
  <c r="H13" i="3"/>
  <c r="L197" i="9"/>
  <c r="M545" i="9"/>
  <c r="O512" i="9"/>
  <c r="M209" i="9"/>
  <c r="M437" i="9"/>
  <c r="Q302" i="9"/>
  <c r="Q413" i="9"/>
  <c r="M131" i="9"/>
  <c r="P242" i="9"/>
  <c r="O227" i="9"/>
  <c r="Q47" i="9"/>
  <c r="Q371" i="9"/>
  <c r="L371" i="9"/>
  <c r="P548" i="9"/>
  <c r="L452" i="9"/>
  <c r="P113" i="9"/>
  <c r="Q113" i="9"/>
  <c r="L287" i="9"/>
  <c r="L275" i="9"/>
  <c r="P275" i="9"/>
  <c r="O14" i="3" s="1"/>
  <c r="N83" i="9"/>
  <c r="M83" i="9"/>
  <c r="P323" i="9"/>
  <c r="M323" i="9"/>
  <c r="Q68" i="9"/>
  <c r="L68" i="9"/>
  <c r="R416" i="9"/>
  <c r="Q416" i="9"/>
  <c r="N233" i="9"/>
  <c r="O521" i="9"/>
  <c r="M521" i="9"/>
  <c r="P401" i="9"/>
  <c r="R509" i="9"/>
  <c r="P509" i="9"/>
  <c r="P251" i="9"/>
  <c r="O251" i="9"/>
  <c r="R41" i="9"/>
  <c r="O41" i="9"/>
  <c r="P140" i="9"/>
  <c r="Q140" i="9"/>
  <c r="N410" i="9"/>
  <c r="Q410" i="9"/>
  <c r="O398" i="9"/>
  <c r="L398" i="9"/>
  <c r="P206" i="9"/>
  <c r="R206" i="9"/>
  <c r="M236" i="9"/>
  <c r="Q236" i="9"/>
  <c r="L11" i="9"/>
  <c r="P11" i="9"/>
  <c r="L8" i="9"/>
  <c r="K26" i="3" s="1"/>
  <c r="P8" i="9"/>
  <c r="O26" i="3" s="1"/>
  <c r="M290" i="9"/>
  <c r="R290" i="9"/>
  <c r="N146" i="9"/>
  <c r="L146" i="9"/>
  <c r="N92" i="9"/>
  <c r="R92" i="9"/>
  <c r="O92" i="9"/>
  <c r="R284" i="9"/>
  <c r="O284" i="9"/>
  <c r="Q284" i="9"/>
  <c r="M482" i="9"/>
  <c r="P482" i="9"/>
  <c r="R482" i="9"/>
  <c r="P404" i="9"/>
  <c r="N404" i="9"/>
  <c r="L404" i="9"/>
  <c r="M404" i="9"/>
  <c r="O107" i="9"/>
  <c r="R107" i="9"/>
  <c r="N107" i="9"/>
  <c r="Q107" i="9"/>
  <c r="M107" i="9"/>
  <c r="P107" i="9"/>
  <c r="L107" i="9"/>
  <c r="L365" i="9"/>
  <c r="O344" i="9"/>
  <c r="Q470" i="9"/>
  <c r="M320" i="9"/>
  <c r="M95" i="9"/>
  <c r="L458" i="9"/>
  <c r="N113" i="9"/>
  <c r="M425" i="9"/>
  <c r="M47" i="9"/>
  <c r="O170" i="9"/>
  <c r="P479" i="9"/>
  <c r="R29" i="9"/>
  <c r="Q401" i="9"/>
  <c r="S500" i="9"/>
  <c r="L620" i="9"/>
  <c r="M617" i="9"/>
  <c r="Q614" i="9"/>
  <c r="Q611" i="9"/>
  <c r="L608" i="9"/>
  <c r="M605" i="9"/>
  <c r="P602" i="9"/>
  <c r="P599" i="9"/>
  <c r="Q602" i="9"/>
  <c r="R611" i="9"/>
  <c r="O599" i="9"/>
  <c r="R608" i="9"/>
  <c r="N620" i="9"/>
  <c r="M611" i="9"/>
  <c r="L614" i="9"/>
  <c r="M5" i="9"/>
  <c r="R5" i="9"/>
  <c r="Q56" i="5" s="1"/>
  <c r="P5" i="9"/>
  <c r="O56" i="5" s="1"/>
  <c r="Q203" i="9"/>
  <c r="L203" i="9"/>
  <c r="M203" i="9"/>
  <c r="R536" i="9"/>
  <c r="L80" i="9"/>
  <c r="Q80" i="9"/>
  <c r="O80" i="9"/>
  <c r="L89" i="9"/>
  <c r="P89" i="9"/>
  <c r="M89" i="9"/>
  <c r="R572" i="9"/>
  <c r="N572" i="9"/>
  <c r="P572" i="9"/>
  <c r="O254" i="9"/>
  <c r="L272" i="9"/>
  <c r="R503" i="9"/>
  <c r="N503" i="9"/>
  <c r="Q503" i="9"/>
  <c r="O59" i="9"/>
  <c r="L491" i="9"/>
  <c r="R491" i="9"/>
  <c r="P56" i="9"/>
  <c r="M56" i="9"/>
  <c r="R56" i="9"/>
  <c r="M35" i="9"/>
  <c r="Q35" i="9"/>
  <c r="P35" i="9"/>
  <c r="O134" i="9"/>
  <c r="N134" i="9"/>
  <c r="R134" i="9"/>
  <c r="Q134" i="9"/>
  <c r="Q116" i="9"/>
  <c r="O116" i="9"/>
  <c r="N116" i="9"/>
  <c r="R116" i="9"/>
  <c r="H38" i="3"/>
  <c r="I67" i="7"/>
  <c r="G67" i="7"/>
  <c r="U68" i="13" s="1"/>
  <c r="I66" i="7"/>
  <c r="G66" i="7"/>
  <c r="U67" i="13" s="1"/>
  <c r="I65" i="7"/>
  <c r="G65" i="7"/>
  <c r="U66" i="13" s="1"/>
  <c r="I64" i="7"/>
  <c r="U65" i="13"/>
  <c r="I63" i="7"/>
  <c r="U64" i="13"/>
  <c r="I62" i="7"/>
  <c r="U63" i="13"/>
  <c r="I61" i="7"/>
  <c r="G61" i="7"/>
  <c r="I60" i="7"/>
  <c r="G60" i="7"/>
  <c r="I59" i="7"/>
  <c r="G59" i="7"/>
  <c r="I55" i="7"/>
  <c r="G55" i="7"/>
  <c r="Q68" i="13" s="1"/>
  <c r="I54" i="7"/>
  <c r="G54" i="7"/>
  <c r="Q67" i="13" s="1"/>
  <c r="I53" i="7"/>
  <c r="G53" i="7"/>
  <c r="Q66" i="13" s="1"/>
  <c r="I52" i="7"/>
  <c r="G52" i="7"/>
  <c r="Q65" i="13" s="1"/>
  <c r="I51" i="7"/>
  <c r="G51" i="7"/>
  <c r="Q64" i="13" s="1"/>
  <c r="I50" i="7"/>
  <c r="G50" i="7"/>
  <c r="Q63" i="13" s="1"/>
  <c r="I49" i="7"/>
  <c r="G49" i="7"/>
  <c r="I48" i="7"/>
  <c r="G48" i="7"/>
  <c r="I47" i="7"/>
  <c r="G47" i="7"/>
  <c r="I46" i="7"/>
  <c r="Q61" i="13" s="1"/>
  <c r="G45" i="7"/>
  <c r="Q57" i="13" s="1"/>
  <c r="I44" i="7"/>
  <c r="Q59" i="13" s="1"/>
  <c r="I43" i="7"/>
  <c r="G43" i="7"/>
  <c r="M68" i="13" s="1"/>
  <c r="I42" i="7"/>
  <c r="G42" i="7"/>
  <c r="M67" i="13" s="1"/>
  <c r="I41" i="7"/>
  <c r="G41" i="7"/>
  <c r="M63" i="13" s="1"/>
  <c r="I40" i="7"/>
  <c r="G40" i="7"/>
  <c r="M66" i="13" s="1"/>
  <c r="I39" i="7"/>
  <c r="G39" i="7"/>
  <c r="M65" i="13" s="1"/>
  <c r="I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38" i="6"/>
  <c r="H67" i="7"/>
  <c r="H66" i="7"/>
  <c r="H65" i="7"/>
  <c r="H61" i="7"/>
  <c r="H60" i="7"/>
  <c r="H55" i="7"/>
  <c r="H54" i="7"/>
  <c r="H53" i="7"/>
  <c r="H52" i="7"/>
  <c r="H51" i="7"/>
  <c r="H50" i="7"/>
  <c r="H49" i="7"/>
  <c r="H48" i="7"/>
  <c r="H44" i="7"/>
  <c r="H43" i="7"/>
  <c r="H42" i="7"/>
  <c r="H41" i="7"/>
  <c r="H40" i="7"/>
  <c r="H39" i="7"/>
  <c r="G38" i="7"/>
  <c r="M64" i="13" s="1"/>
  <c r="G37" i="7"/>
  <c r="G36" i="7"/>
  <c r="G35" i="7"/>
  <c r="G34" i="7"/>
  <c r="M58" i="13" s="1"/>
  <c r="G33" i="7"/>
  <c r="M57" i="13" s="1"/>
  <c r="G32" i="7"/>
  <c r="M56" i="13" s="1"/>
  <c r="G31" i="7"/>
  <c r="I68" i="13" s="1"/>
  <c r="G30" i="7"/>
  <c r="I67" i="13" s="1"/>
  <c r="G29" i="7"/>
  <c r="I66" i="13" s="1"/>
  <c r="I27" i="7"/>
  <c r="I65" i="13"/>
  <c r="I26" i="7"/>
  <c r="I64" i="13"/>
  <c r="I25" i="7"/>
  <c r="G25" i="7"/>
  <c r="I24" i="7"/>
  <c r="G24" i="7"/>
  <c r="I23" i="7"/>
  <c r="G23" i="7"/>
  <c r="I19" i="7"/>
  <c r="G19" i="7"/>
  <c r="E68" i="13" s="1"/>
  <c r="I18" i="7"/>
  <c r="G18" i="7"/>
  <c r="E67" i="13" s="1"/>
  <c r="I17" i="7"/>
  <c r="G17" i="7"/>
  <c r="E63" i="13" s="1"/>
  <c r="I16" i="7"/>
  <c r="G16" i="7"/>
  <c r="E66" i="13" s="1"/>
  <c r="I15" i="7"/>
  <c r="G15" i="7"/>
  <c r="E65" i="13" s="1"/>
  <c r="I14" i="7"/>
  <c r="G14" i="7"/>
  <c r="E64" i="13" s="1"/>
  <c r="I13" i="7"/>
  <c r="G13" i="7"/>
  <c r="I12" i="7"/>
  <c r="G12" i="7"/>
  <c r="I11" i="7"/>
  <c r="G11" i="7"/>
  <c r="I10" i="7"/>
  <c r="E61" i="13" s="1"/>
  <c r="G10" i="7"/>
  <c r="E58" i="13" s="1"/>
  <c r="I9" i="7"/>
  <c r="E60" i="13" s="1"/>
  <c r="G9" i="7"/>
  <c r="E57" i="13" s="1"/>
  <c r="I8" i="7"/>
  <c r="E59" i="13" s="1"/>
  <c r="G8" i="7"/>
  <c r="E56" i="13" s="1"/>
  <c r="I67" i="6"/>
  <c r="G67" i="6"/>
  <c r="U55" i="13" s="1"/>
  <c r="I66" i="6"/>
  <c r="G66" i="6"/>
  <c r="U54" i="13" s="1"/>
  <c r="I65" i="6"/>
  <c r="G65" i="6"/>
  <c r="U51" i="13" s="1"/>
  <c r="I64" i="6"/>
  <c r="G64" i="6"/>
  <c r="U53" i="13" s="1"/>
  <c r="I63" i="6"/>
  <c r="G63" i="6"/>
  <c r="U52" i="13" s="1"/>
  <c r="I62" i="6"/>
  <c r="G62" i="6"/>
  <c r="U50" i="13" s="1"/>
  <c r="I61" i="6"/>
  <c r="G61" i="6"/>
  <c r="I60" i="6"/>
  <c r="G60" i="6"/>
  <c r="G59" i="6"/>
  <c r="I58" i="6"/>
  <c r="U48" i="13" s="1"/>
  <c r="G58" i="6"/>
  <c r="U45" i="13" s="1"/>
  <c r="I57" i="6"/>
  <c r="U47" i="13" s="1"/>
  <c r="G57" i="6"/>
  <c r="U44" i="13" s="1"/>
  <c r="I56" i="6"/>
  <c r="U46" i="13" s="1"/>
  <c r="G56" i="6"/>
  <c r="U43" i="13" s="1"/>
  <c r="I55" i="6"/>
  <c r="G55" i="6"/>
  <c r="Q55" i="13" s="1"/>
  <c r="I54" i="6"/>
  <c r="G54" i="6"/>
  <c r="Q54" i="13" s="1"/>
  <c r="I53" i="6"/>
  <c r="G53" i="6"/>
  <c r="Q53" i="13" s="1"/>
  <c r="I52" i="6"/>
  <c r="G52" i="6"/>
  <c r="Q51" i="13" s="1"/>
  <c r="I51" i="6"/>
  <c r="G51" i="6"/>
  <c r="Q52" i="13" s="1"/>
  <c r="I50" i="6"/>
  <c r="G50" i="6"/>
  <c r="Q50" i="13" s="1"/>
  <c r="I49" i="6"/>
  <c r="G49" i="6"/>
  <c r="I48" i="6"/>
  <c r="G48" i="6"/>
  <c r="I47" i="6"/>
  <c r="G47" i="6"/>
  <c r="I46" i="6"/>
  <c r="Q48" i="13" s="1"/>
  <c r="Q45" i="13"/>
  <c r="Q47" i="13"/>
  <c r="Q44" i="13"/>
  <c r="Q46" i="13"/>
  <c r="Q43" i="13"/>
  <c r="I43" i="6"/>
  <c r="G43" i="6"/>
  <c r="M55" i="13" s="1"/>
  <c r="I42" i="6"/>
  <c r="G42" i="6"/>
  <c r="M54" i="13" s="1"/>
  <c r="I41" i="6"/>
  <c r="G41" i="6"/>
  <c r="M53" i="13" s="1"/>
  <c r="I40" i="6"/>
  <c r="G40" i="6"/>
  <c r="M52" i="13" s="1"/>
  <c r="I39" i="6"/>
  <c r="G39" i="6"/>
  <c r="M51" i="13" s="1"/>
  <c r="I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J25" i="6"/>
  <c r="H25" i="6"/>
  <c r="J24" i="6"/>
  <c r="J67" i="7"/>
  <c r="J65" i="7"/>
  <c r="J63" i="7"/>
  <c r="J61" i="7"/>
  <c r="J59" i="7"/>
  <c r="J55" i="7"/>
  <c r="J53" i="7"/>
  <c r="J51" i="7"/>
  <c r="J49" i="7"/>
  <c r="J47" i="7"/>
  <c r="J43" i="7"/>
  <c r="J41" i="7"/>
  <c r="J39" i="7"/>
  <c r="I37" i="7"/>
  <c r="I35" i="7"/>
  <c r="I33" i="7"/>
  <c r="M60" i="13" s="1"/>
  <c r="I31" i="7"/>
  <c r="I29" i="7"/>
  <c r="J27" i="7"/>
  <c r="J26" i="7"/>
  <c r="J25" i="7"/>
  <c r="J24" i="7"/>
  <c r="J23" i="7"/>
  <c r="J19" i="7"/>
  <c r="J18" i="7"/>
  <c r="J17" i="7"/>
  <c r="J16" i="7"/>
  <c r="J15" i="7"/>
  <c r="J14" i="7"/>
  <c r="J13" i="7"/>
  <c r="J12" i="7"/>
  <c r="J11" i="7"/>
  <c r="J10" i="7"/>
  <c r="J9" i="7"/>
  <c r="J8" i="7"/>
  <c r="J67" i="6"/>
  <c r="J66" i="6"/>
  <c r="J65" i="6"/>
  <c r="J64" i="6"/>
  <c r="J63" i="6"/>
  <c r="J62" i="6"/>
  <c r="J61" i="6"/>
  <c r="J60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3" i="6"/>
  <c r="J42" i="6"/>
  <c r="J41" i="6"/>
  <c r="J40" i="6"/>
  <c r="J39" i="6"/>
  <c r="J38" i="6"/>
  <c r="I37" i="6"/>
  <c r="I36" i="6"/>
  <c r="I35" i="6"/>
  <c r="I34" i="6"/>
  <c r="M48" i="13" s="1"/>
  <c r="I33" i="6"/>
  <c r="M47" i="13" s="1"/>
  <c r="I32" i="6"/>
  <c r="M46" i="13" s="1"/>
  <c r="I31" i="6"/>
  <c r="I30" i="6"/>
  <c r="I29" i="6"/>
  <c r="I28" i="6"/>
  <c r="I27" i="6"/>
  <c r="I26" i="6"/>
  <c r="I25" i="6"/>
  <c r="I24" i="6"/>
  <c r="G24" i="6"/>
  <c r="I23" i="6"/>
  <c r="G23" i="6"/>
  <c r="I22" i="6"/>
  <c r="I48" i="13" s="1"/>
  <c r="G22" i="6"/>
  <c r="I45" i="13" s="1"/>
  <c r="I21" i="6"/>
  <c r="I47" i="13" s="1"/>
  <c r="G21" i="6"/>
  <c r="I44" i="13" s="1"/>
  <c r="I20" i="6"/>
  <c r="I46" i="13" s="1"/>
  <c r="G20" i="6"/>
  <c r="I43" i="13" s="1"/>
  <c r="I19" i="6"/>
  <c r="G19" i="6"/>
  <c r="E55" i="13" s="1"/>
  <c r="I18" i="6"/>
  <c r="G18" i="6"/>
  <c r="E54" i="13" s="1"/>
  <c r="I17" i="6"/>
  <c r="G17" i="6"/>
  <c r="E53" i="13" s="1"/>
  <c r="I16" i="6"/>
  <c r="G16" i="6"/>
  <c r="E52" i="13" s="1"/>
  <c r="I15" i="6"/>
  <c r="G15" i="6"/>
  <c r="E51" i="13" s="1"/>
  <c r="I14" i="6"/>
  <c r="G14" i="6"/>
  <c r="E50" i="13" s="1"/>
  <c r="I13" i="6"/>
  <c r="G13" i="6"/>
  <c r="I12" i="6"/>
  <c r="G12" i="6"/>
  <c r="I11" i="6"/>
  <c r="G11" i="6"/>
  <c r="U42" i="13"/>
  <c r="U41" i="13"/>
  <c r="U37" i="13"/>
  <c r="U40" i="13"/>
  <c r="U39" i="13"/>
  <c r="J43" i="5"/>
  <c r="H43" i="5"/>
  <c r="J42" i="5"/>
  <c r="H42" i="5"/>
  <c r="J41" i="5"/>
  <c r="H41" i="5"/>
  <c r="J40" i="5"/>
  <c r="H40" i="5"/>
  <c r="J39" i="5"/>
  <c r="H39" i="5"/>
  <c r="J38" i="5"/>
  <c r="J31" i="5"/>
  <c r="H31" i="5"/>
  <c r="J30" i="5"/>
  <c r="H30" i="5"/>
  <c r="J29" i="5"/>
  <c r="H29" i="5"/>
  <c r="J28" i="5"/>
  <c r="H28" i="5"/>
  <c r="J27" i="5"/>
  <c r="H27" i="5"/>
  <c r="J26" i="5"/>
  <c r="H26" i="5"/>
  <c r="J43" i="4"/>
  <c r="H43" i="4"/>
  <c r="J42" i="4"/>
  <c r="H42" i="4"/>
  <c r="J41" i="4"/>
  <c r="H41" i="4"/>
  <c r="J40" i="4"/>
  <c r="H40" i="4"/>
  <c r="J39" i="4"/>
  <c r="H39" i="4"/>
  <c r="J38" i="4"/>
  <c r="H38" i="4"/>
  <c r="J66" i="7"/>
  <c r="J64" i="7"/>
  <c r="J62" i="7"/>
  <c r="J60" i="7"/>
  <c r="J54" i="7"/>
  <c r="J52" i="7"/>
  <c r="J50" i="7"/>
  <c r="J48" i="7"/>
  <c r="J42" i="7"/>
  <c r="J38" i="7"/>
  <c r="I36" i="7"/>
  <c r="I34" i="7"/>
  <c r="M61" i="13" s="1"/>
  <c r="I32" i="7"/>
  <c r="M59" i="13" s="1"/>
  <c r="I30" i="7"/>
  <c r="I28" i="7"/>
  <c r="H25" i="7"/>
  <c r="H24" i="7"/>
  <c r="H19" i="7"/>
  <c r="H18" i="7"/>
  <c r="H17" i="7"/>
  <c r="H16" i="7"/>
  <c r="H15" i="7"/>
  <c r="H13" i="7"/>
  <c r="H12" i="7"/>
  <c r="H10" i="7"/>
  <c r="H9" i="7"/>
  <c r="H67" i="6"/>
  <c r="H65" i="6"/>
  <c r="H63" i="6"/>
  <c r="H62" i="6"/>
  <c r="H60" i="6"/>
  <c r="H58" i="6"/>
  <c r="H56" i="6"/>
  <c r="H54" i="6"/>
  <c r="H53" i="6"/>
  <c r="H51" i="6"/>
  <c r="H49" i="6"/>
  <c r="H42" i="6"/>
  <c r="H40" i="6"/>
  <c r="G38" i="6"/>
  <c r="M50" i="13" s="1"/>
  <c r="G36" i="6"/>
  <c r="G34" i="6"/>
  <c r="M45" i="13" s="1"/>
  <c r="G32" i="6"/>
  <c r="M43" i="13" s="1"/>
  <c r="G30" i="6"/>
  <c r="I54" i="13" s="1"/>
  <c r="G28" i="6"/>
  <c r="G27" i="6"/>
  <c r="I52" i="13" s="1"/>
  <c r="G25" i="6"/>
  <c r="J23" i="6"/>
  <c r="J22" i="6"/>
  <c r="J21" i="6"/>
  <c r="J20" i="6"/>
  <c r="J19" i="6"/>
  <c r="J18" i="6"/>
  <c r="H18" i="6"/>
  <c r="H17" i="6"/>
  <c r="H16" i="6"/>
  <c r="H15" i="6"/>
  <c r="H14" i="6"/>
  <c r="H13" i="6"/>
  <c r="H12" i="6"/>
  <c r="U38" i="13"/>
  <c r="I43" i="5"/>
  <c r="I42" i="5"/>
  <c r="I41" i="5"/>
  <c r="I40" i="5"/>
  <c r="I39" i="5"/>
  <c r="I38" i="5"/>
  <c r="I31" i="5"/>
  <c r="G31" i="5"/>
  <c r="I42" i="13" s="1"/>
  <c r="G30" i="5"/>
  <c r="I41" i="13" s="1"/>
  <c r="G29" i="5"/>
  <c r="I40" i="13" s="1"/>
  <c r="G28" i="5"/>
  <c r="G27" i="5"/>
  <c r="I39" i="13" s="1"/>
  <c r="G26" i="5"/>
  <c r="I37" i="13" s="1"/>
  <c r="G43" i="4"/>
  <c r="M29" i="13" s="1"/>
  <c r="I42" i="4"/>
  <c r="G41" i="4"/>
  <c r="M27" i="13" s="1"/>
  <c r="I40" i="4"/>
  <c r="I39" i="4"/>
  <c r="I38" i="4"/>
  <c r="J40" i="7"/>
  <c r="H66" i="6"/>
  <c r="H64" i="6"/>
  <c r="H61" i="6"/>
  <c r="H57" i="6"/>
  <c r="H55" i="6"/>
  <c r="H52" i="6"/>
  <c r="H50" i="6"/>
  <c r="H48" i="6"/>
  <c r="H43" i="6"/>
  <c r="H41" i="6"/>
  <c r="H39" i="6"/>
  <c r="G37" i="6"/>
  <c r="G35" i="6"/>
  <c r="G33" i="6"/>
  <c r="M44" i="13" s="1"/>
  <c r="G31" i="6"/>
  <c r="I55" i="13" s="1"/>
  <c r="G29" i="6"/>
  <c r="I50" i="13" s="1"/>
  <c r="G26" i="6"/>
  <c r="I51" i="13" s="1"/>
  <c r="H24" i="6"/>
  <c r="H22" i="6"/>
  <c r="H21" i="6"/>
  <c r="H20" i="6"/>
  <c r="H19" i="6"/>
  <c r="J17" i="6"/>
  <c r="J16" i="6"/>
  <c r="J15" i="6"/>
  <c r="J14" i="6"/>
  <c r="J13" i="6"/>
  <c r="J12" i="6"/>
  <c r="J11" i="6"/>
  <c r="G43" i="5"/>
  <c r="M42" i="13" s="1"/>
  <c r="G42" i="5"/>
  <c r="M41" i="13" s="1"/>
  <c r="G41" i="5"/>
  <c r="M38" i="13" s="1"/>
  <c r="G40" i="5"/>
  <c r="M40" i="13" s="1"/>
  <c r="G39" i="5"/>
  <c r="M39" i="13" s="1"/>
  <c r="G38" i="5"/>
  <c r="M37" i="13" s="1"/>
  <c r="I30" i="5"/>
  <c r="I29" i="5"/>
  <c r="I28" i="5"/>
  <c r="I27" i="5"/>
  <c r="I26" i="5"/>
  <c r="I43" i="4"/>
  <c r="G42" i="4"/>
  <c r="M28" i="13" s="1"/>
  <c r="I41" i="4"/>
  <c r="G40" i="4"/>
  <c r="M25" i="13" s="1"/>
  <c r="M24" i="13"/>
  <c r="G38" i="4"/>
  <c r="M26" i="13" s="1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J40" i="3"/>
  <c r="H40" i="3"/>
  <c r="J39" i="3"/>
  <c r="H39" i="3"/>
  <c r="J38" i="3"/>
  <c r="G38" i="3"/>
  <c r="M11" i="13" s="1"/>
  <c r="I58" i="3"/>
  <c r="U9" i="13" s="1"/>
  <c r="G58" i="3"/>
  <c r="U6" i="13" s="1"/>
  <c r="I57" i="3"/>
  <c r="U8" i="13" s="1"/>
  <c r="G57" i="3"/>
  <c r="U5" i="13" s="1"/>
  <c r="I56" i="3"/>
  <c r="U7" i="13" s="1"/>
  <c r="G56" i="3"/>
  <c r="U4" i="13" s="1"/>
  <c r="I19" i="4"/>
  <c r="G19" i="4"/>
  <c r="I18" i="4"/>
  <c r="G18" i="4"/>
  <c r="E28" i="13" s="1"/>
  <c r="I17" i="4"/>
  <c r="G17" i="4"/>
  <c r="E24" i="13" s="1"/>
  <c r="I16" i="4"/>
  <c r="G16" i="4"/>
  <c r="E27" i="13" s="1"/>
  <c r="I15" i="4"/>
  <c r="G15" i="4"/>
  <c r="E26" i="13" s="1"/>
  <c r="I14" i="4"/>
  <c r="G14" i="4"/>
  <c r="E25" i="13" s="1"/>
  <c r="I13" i="4"/>
  <c r="G13" i="4"/>
  <c r="I12" i="4"/>
  <c r="G12" i="4"/>
  <c r="I11" i="4"/>
  <c r="G11" i="4"/>
  <c r="I40" i="3"/>
  <c r="G40" i="3"/>
  <c r="M14" i="13" s="1"/>
  <c r="I39" i="3"/>
  <c r="G39" i="3"/>
  <c r="M12" i="13" s="1"/>
  <c r="I38" i="3"/>
  <c r="J58" i="3"/>
  <c r="H58" i="3"/>
  <c r="J57" i="3"/>
  <c r="H57" i="3"/>
  <c r="J56" i="3"/>
  <c r="H56" i="3"/>
  <c r="I12" i="3"/>
  <c r="J13" i="3"/>
  <c r="G72" i="6"/>
  <c r="I76" i="5"/>
  <c r="I48" i="5"/>
  <c r="I74" i="6"/>
  <c r="I27" i="4"/>
  <c r="J48" i="4"/>
  <c r="J61" i="4"/>
  <c r="I66" i="4"/>
  <c r="G71" i="5"/>
  <c r="H71" i="7"/>
  <c r="H76" i="5"/>
  <c r="H75" i="5"/>
  <c r="J75" i="7"/>
  <c r="I76" i="7"/>
  <c r="H15" i="5"/>
  <c r="I77" i="4"/>
  <c r="J36" i="5"/>
  <c r="G60" i="4"/>
  <c r="J49" i="5"/>
  <c r="I48" i="4"/>
  <c r="I24" i="5"/>
  <c r="Q38" i="13"/>
  <c r="J54" i="5"/>
  <c r="G79" i="5"/>
  <c r="Y42" i="13" s="1"/>
  <c r="L359" i="9"/>
  <c r="R359" i="9"/>
  <c r="M2" i="9"/>
  <c r="O2" i="9"/>
  <c r="P530" i="9"/>
  <c r="L530" i="9"/>
  <c r="R32" i="9"/>
  <c r="Q32" i="9"/>
  <c r="N32" i="9"/>
  <c r="L593" i="9"/>
  <c r="R593" i="9"/>
  <c r="L17" i="9"/>
  <c r="N17" i="9"/>
  <c r="P17" i="9"/>
  <c r="O38" i="9"/>
  <c r="Q38" i="9"/>
  <c r="L38" i="9"/>
  <c r="P356" i="9"/>
  <c r="O356" i="9"/>
  <c r="N167" i="9"/>
  <c r="L167" i="9"/>
  <c r="R539" i="9"/>
  <c r="P539" i="9"/>
  <c r="Q539" i="9"/>
  <c r="M158" i="9"/>
  <c r="Q158" i="9"/>
  <c r="L422" i="9"/>
  <c r="Q422" i="9"/>
  <c r="R524" i="9"/>
  <c r="O524" i="9"/>
  <c r="O527" i="9"/>
  <c r="M527" i="9"/>
  <c r="Q527" i="9"/>
  <c r="O584" i="9"/>
  <c r="M584" i="9"/>
  <c r="O155" i="9"/>
  <c r="O428" i="9"/>
  <c r="R428" i="9"/>
  <c r="M308" i="9"/>
  <c r="Q308" i="9"/>
  <c r="R467" i="9"/>
  <c r="N467" i="9"/>
  <c r="R212" i="9"/>
  <c r="L212" i="9"/>
  <c r="O212" i="9"/>
  <c r="M212" i="9"/>
  <c r="P212" i="9"/>
  <c r="N125" i="9"/>
  <c r="P248" i="9"/>
  <c r="R248" i="9"/>
  <c r="L248" i="9"/>
  <c r="O434" i="9"/>
  <c r="R434" i="9"/>
  <c r="O194" i="9"/>
  <c r="R194" i="9"/>
  <c r="M338" i="9"/>
  <c r="Q338" i="9"/>
  <c r="Q161" i="9"/>
  <c r="R152" i="9"/>
  <c r="M152" i="9"/>
  <c r="O152" i="9"/>
  <c r="O440" i="9"/>
  <c r="Q440" i="9"/>
  <c r="M590" i="9"/>
  <c r="O590" i="9"/>
  <c r="P590" i="9"/>
  <c r="Q590" i="9"/>
  <c r="N515" i="9"/>
  <c r="P515" i="9"/>
  <c r="R305" i="9"/>
  <c r="P305" i="9"/>
  <c r="L239" i="9"/>
  <c r="N239" i="9"/>
  <c r="Q239" i="9"/>
  <c r="O392" i="9"/>
  <c r="L392" i="9"/>
  <c r="M392" i="9"/>
  <c r="R218" i="9"/>
  <c r="N218" i="9"/>
  <c r="R395" i="9"/>
  <c r="M341" i="9"/>
  <c r="P341" i="9"/>
  <c r="Q341" i="9"/>
  <c r="M518" i="9"/>
  <c r="Q518" i="9"/>
  <c r="P506" i="9"/>
  <c r="Q506" i="9"/>
  <c r="R407" i="9"/>
  <c r="P407" i="9"/>
  <c r="N491" i="9"/>
  <c r="N71" i="9"/>
  <c r="O71" i="9"/>
  <c r="Q71" i="9"/>
  <c r="P287" i="9"/>
  <c r="O62" i="3" s="1"/>
  <c r="Q23" i="9"/>
  <c r="L23" i="9"/>
  <c r="N23" i="9"/>
  <c r="R23" i="9"/>
  <c r="O23" i="9"/>
  <c r="P23" i="9"/>
  <c r="R377" i="9"/>
  <c r="N377" i="9"/>
  <c r="O377" i="9"/>
  <c r="L377" i="9"/>
  <c r="N74" i="9"/>
  <c r="O74" i="9"/>
  <c r="R74" i="9"/>
  <c r="O50" i="9"/>
  <c r="M50" i="9"/>
  <c r="L50" i="9"/>
  <c r="Q50" i="9"/>
  <c r="P50" i="9"/>
  <c r="O35" i="9"/>
  <c r="L137" i="9"/>
  <c r="Q317" i="9"/>
  <c r="J37" i="4"/>
  <c r="H13" i="5"/>
  <c r="G19" i="5"/>
  <c r="E42" i="13" s="1"/>
  <c r="G37" i="5"/>
  <c r="O167" i="9"/>
  <c r="R47" i="9"/>
  <c r="P47" i="9"/>
  <c r="N47" i="9"/>
  <c r="Q29" i="9"/>
  <c r="O380" i="9"/>
  <c r="R170" i="9"/>
  <c r="P20" i="9"/>
  <c r="O371" i="9"/>
  <c r="N371" i="9"/>
  <c r="P101" i="9"/>
  <c r="P452" i="9"/>
  <c r="O8" i="3" s="1"/>
  <c r="R179" i="9"/>
  <c r="Q179" i="9"/>
  <c r="P179" i="9"/>
  <c r="R95" i="9"/>
  <c r="Q95" i="9"/>
  <c r="O95" i="9"/>
  <c r="L113" i="9"/>
  <c r="Q425" i="9"/>
  <c r="P95" i="9"/>
  <c r="L95" i="9"/>
  <c r="R323" i="9"/>
  <c r="O416" i="9"/>
  <c r="R101" i="9"/>
  <c r="R548" i="9"/>
  <c r="N452" i="9"/>
  <c r="L71" i="9"/>
  <c r="N191" i="9"/>
  <c r="P380" i="9"/>
  <c r="O479" i="9"/>
  <c r="L29" i="9"/>
  <c r="K32" i="6" s="1"/>
  <c r="N20" i="9"/>
  <c r="R233" i="9"/>
  <c r="M41" i="9"/>
  <c r="O8" i="9"/>
  <c r="R251" i="9"/>
  <c r="O410" i="9"/>
  <c r="R236" i="9"/>
  <c r="L35" i="9"/>
  <c r="O236" i="9"/>
  <c r="Q398" i="9"/>
  <c r="Q476" i="9"/>
  <c r="N476" i="9"/>
  <c r="O206" i="9"/>
  <c r="M206" i="9"/>
  <c r="P290" i="9"/>
  <c r="L290" i="9"/>
  <c r="M146" i="9"/>
  <c r="N11" i="9"/>
  <c r="L245" i="9"/>
  <c r="N245" i="9"/>
  <c r="O245" i="9"/>
  <c r="S278" i="9"/>
  <c r="P605" i="9"/>
  <c r="N611" i="9"/>
  <c r="O620" i="9"/>
  <c r="N608" i="9"/>
  <c r="O617" i="9"/>
  <c r="R620" i="9"/>
  <c r="M620" i="9"/>
  <c r="L617" i="9"/>
  <c r="M614" i="9"/>
  <c r="L611" i="9"/>
  <c r="M608" i="9"/>
  <c r="L605" i="9"/>
  <c r="M602" i="9"/>
  <c r="N599" i="9"/>
  <c r="Q260" i="9"/>
  <c r="R230" i="9"/>
  <c r="M563" i="9"/>
  <c r="S563" i="9" s="1"/>
  <c r="R542" i="9"/>
  <c r="M11" i="9"/>
  <c r="F20" i="7"/>
  <c r="G22" i="7" s="1"/>
  <c r="I58" i="13" s="1"/>
  <c r="P32" i="6"/>
  <c r="P38" i="6"/>
  <c r="F8" i="6"/>
  <c r="I10" i="6" s="1"/>
  <c r="E48" i="13" s="1"/>
  <c r="G50" i="5"/>
  <c r="Q39" i="13" s="1"/>
  <c r="G52" i="5"/>
  <c r="Q41" i="13" s="1"/>
  <c r="J51" i="5"/>
  <c r="H52" i="5"/>
  <c r="J50" i="5"/>
  <c r="I17" i="5"/>
  <c r="G17" i="5"/>
  <c r="E40" i="13" s="1"/>
  <c r="O26" i="5"/>
  <c r="J33" i="4"/>
  <c r="H60" i="3"/>
  <c r="Q32" i="6"/>
  <c r="L32" i="6"/>
  <c r="Q14" i="6"/>
  <c r="P14" i="6"/>
  <c r="J22" i="5"/>
  <c r="H21" i="5"/>
  <c r="I20" i="5"/>
  <c r="I33" i="13" s="1"/>
  <c r="I35" i="5"/>
  <c r="G35" i="5"/>
  <c r="G36" i="5"/>
  <c r="F8" i="5"/>
  <c r="J10" i="5" s="1"/>
  <c r="F32" i="5"/>
  <c r="H34" i="5" s="1"/>
  <c r="I18" i="5"/>
  <c r="H19" i="5"/>
  <c r="H17" i="5"/>
  <c r="H37" i="5"/>
  <c r="J18" i="5"/>
  <c r="I19" i="5"/>
  <c r="K26" i="5"/>
  <c r="G32" i="4"/>
  <c r="M17" i="13" s="1"/>
  <c r="O32" i="4"/>
  <c r="G37" i="4"/>
  <c r="G35" i="4"/>
  <c r="I36" i="4"/>
  <c r="H35" i="4"/>
  <c r="G36" i="4"/>
  <c r="H36" i="4"/>
  <c r="J36" i="4"/>
  <c r="I60" i="3"/>
  <c r="H59" i="3"/>
  <c r="I61" i="3"/>
  <c r="J66" i="3"/>
  <c r="H67" i="3"/>
  <c r="J67" i="3"/>
  <c r="I52" i="3"/>
  <c r="G51" i="3"/>
  <c r="Q11" i="13" s="1"/>
  <c r="J51" i="3"/>
  <c r="J10" i="3"/>
  <c r="I34" i="3"/>
  <c r="M9" i="13" s="1"/>
  <c r="G32" i="3"/>
  <c r="M4" i="13" s="1"/>
  <c r="H16" i="3"/>
  <c r="H26" i="3"/>
  <c r="I27" i="3"/>
  <c r="H27" i="3"/>
  <c r="I13" i="3"/>
  <c r="G13" i="3"/>
  <c r="G11" i="3"/>
  <c r="G46" i="4"/>
  <c r="Q19" i="13" s="1"/>
  <c r="I44" i="4"/>
  <c r="Q20" i="13" s="1"/>
  <c r="G20" i="4"/>
  <c r="I17" i="13" s="1"/>
  <c r="I22" i="4"/>
  <c r="I22" i="13" s="1"/>
  <c r="I21" i="4"/>
  <c r="I21" i="13" s="1"/>
  <c r="I20" i="4"/>
  <c r="I20" i="13" s="1"/>
  <c r="J22" i="4"/>
  <c r="H32" i="3"/>
  <c r="J34" i="3"/>
  <c r="H34" i="3"/>
  <c r="I45" i="4"/>
  <c r="Q21" i="13" s="1"/>
  <c r="J44" i="4"/>
  <c r="J46" i="4"/>
  <c r="G34" i="4"/>
  <c r="M19" i="13" s="1"/>
  <c r="I34" i="4"/>
  <c r="M22" i="13" s="1"/>
  <c r="H32" i="4"/>
  <c r="I70" i="6"/>
  <c r="Y48" i="13" s="1"/>
  <c r="J69" i="6"/>
  <c r="K32" i="4"/>
  <c r="Q74" i="3"/>
  <c r="B17" i="13"/>
  <c r="B30" i="13" s="1"/>
  <c r="B43" i="13" s="1"/>
  <c r="B56" i="13" s="1"/>
  <c r="F4" i="13"/>
  <c r="F17" i="13" s="1"/>
  <c r="F30" i="13" s="1"/>
  <c r="F43" i="13" s="1"/>
  <c r="F56" i="13" s="1"/>
  <c r="A11" i="1"/>
  <c r="B11" i="1" s="1"/>
  <c r="G12" i="3"/>
  <c r="H12" i="3"/>
  <c r="J12" i="3"/>
  <c r="H11" i="3"/>
  <c r="I11" i="3"/>
  <c r="J11" i="3"/>
  <c r="J78" i="6"/>
  <c r="G74" i="4"/>
  <c r="Y24" i="13" s="1"/>
  <c r="G18" i="5"/>
  <c r="E41" i="13" s="1"/>
  <c r="H66" i="4"/>
  <c r="G13" i="5"/>
  <c r="H12" i="5"/>
  <c r="I78" i="6"/>
  <c r="G24" i="4"/>
  <c r="J35" i="4"/>
  <c r="G23" i="4"/>
  <c r="I59" i="4"/>
  <c r="I72" i="5"/>
  <c r="J73" i="5"/>
  <c r="J71" i="5"/>
  <c r="G71" i="7"/>
  <c r="J72" i="7"/>
  <c r="G72" i="7"/>
  <c r="I74" i="5"/>
  <c r="J76" i="5"/>
  <c r="J75" i="5"/>
  <c r="J74" i="5"/>
  <c r="H76" i="7"/>
  <c r="H74" i="7"/>
  <c r="H75" i="7"/>
  <c r="G76" i="7"/>
  <c r="Y65" i="13" s="1"/>
  <c r="G74" i="7"/>
  <c r="Y63" i="13" s="1"/>
  <c r="I74" i="7"/>
  <c r="I72" i="6"/>
  <c r="I61" i="4"/>
  <c r="J17" i="5"/>
  <c r="G25" i="4"/>
  <c r="G76" i="4"/>
  <c r="Y26" i="13" s="1"/>
  <c r="J16" i="5"/>
  <c r="G74" i="5"/>
  <c r="Y37" i="13" s="1"/>
  <c r="J15" i="5"/>
  <c r="Q37" i="13"/>
  <c r="I54" i="5"/>
  <c r="H55" i="5"/>
  <c r="H78" i="5"/>
  <c r="H77" i="5"/>
  <c r="H77" i="7"/>
  <c r="G77" i="7"/>
  <c r="Y66" i="13" s="1"/>
  <c r="H36" i="5"/>
  <c r="I47" i="4"/>
  <c r="I23" i="5"/>
  <c r="J19" i="5"/>
  <c r="G27" i="4"/>
  <c r="I24" i="13" s="1"/>
  <c r="H72" i="4"/>
  <c r="I55" i="5"/>
  <c r="I31" i="4"/>
  <c r="H77" i="6"/>
  <c r="J47" i="5"/>
  <c r="I49" i="5"/>
  <c r="G48" i="5"/>
  <c r="H49" i="5"/>
  <c r="I25" i="4"/>
  <c r="H24" i="4"/>
  <c r="G63" i="4"/>
  <c r="U25" i="13" s="1"/>
  <c r="I49" i="4"/>
  <c r="I25" i="5"/>
  <c r="J12" i="5"/>
  <c r="G29" i="4"/>
  <c r="I27" i="13" s="1"/>
  <c r="G64" i="4"/>
  <c r="U24" i="13" s="1"/>
  <c r="H18" i="5"/>
  <c r="I60" i="4"/>
  <c r="J76" i="4"/>
  <c r="H73" i="6"/>
  <c r="H71" i="6"/>
  <c r="H72" i="6"/>
  <c r="G73" i="6"/>
  <c r="G71" i="6"/>
  <c r="H26" i="4"/>
  <c r="I11" i="5"/>
  <c r="J28" i="4"/>
  <c r="J63" i="4"/>
  <c r="J23" i="5"/>
  <c r="J24" i="5"/>
  <c r="J31" i="4"/>
  <c r="H76" i="4"/>
  <c r="I16" i="5"/>
  <c r="I72" i="7"/>
  <c r="J76" i="6"/>
  <c r="J75" i="6"/>
  <c r="G76" i="6"/>
  <c r="Y52" i="13" s="1"/>
  <c r="Y50" i="13"/>
  <c r="H28" i="4"/>
  <c r="H63" i="4"/>
  <c r="I79" i="5"/>
  <c r="G15" i="5"/>
  <c r="E38" i="13" s="1"/>
  <c r="J49" i="4"/>
  <c r="J25" i="5"/>
  <c r="G12" i="5"/>
  <c r="H27" i="4"/>
  <c r="H78" i="4"/>
  <c r="J48" i="5"/>
  <c r="I29" i="4"/>
  <c r="H35" i="5"/>
  <c r="I35" i="4"/>
  <c r="J77" i="6"/>
  <c r="I79" i="6"/>
  <c r="G78" i="6"/>
  <c r="Y54" i="13" s="1"/>
  <c r="H79" i="6"/>
  <c r="H30" i="4"/>
  <c r="H65" i="4"/>
  <c r="G59" i="4"/>
  <c r="H29" i="4"/>
  <c r="H24" i="5"/>
  <c r="H78" i="7"/>
  <c r="J64" i="4"/>
  <c r="I12" i="5"/>
  <c r="J66" i="4"/>
  <c r="H67" i="4"/>
  <c r="I73" i="4"/>
  <c r="I36" i="5"/>
  <c r="J13" i="5"/>
  <c r="G16" i="5"/>
  <c r="E39" i="13" s="1"/>
  <c r="J68" i="4"/>
  <c r="J27" i="4"/>
  <c r="H48" i="3"/>
  <c r="J47" i="3"/>
  <c r="I47" i="3"/>
  <c r="H47" i="3"/>
  <c r="G47" i="3"/>
  <c r="I48" i="3"/>
  <c r="J17" i="3"/>
  <c r="H18" i="3"/>
  <c r="H19" i="3"/>
  <c r="G74" i="3"/>
  <c r="Y11" i="13" s="1"/>
  <c r="I75" i="3"/>
  <c r="H75" i="3"/>
  <c r="J76" i="3"/>
  <c r="I76" i="3"/>
  <c r="H74" i="3"/>
  <c r="G60" i="3"/>
  <c r="J59" i="3"/>
  <c r="I59" i="3"/>
  <c r="H61" i="3"/>
  <c r="G61" i="3"/>
  <c r="J60" i="3"/>
  <c r="G52" i="3"/>
  <c r="Q14" i="13" s="1"/>
  <c r="I51" i="3"/>
  <c r="H51" i="3"/>
  <c r="J52" i="3"/>
  <c r="H50" i="3"/>
  <c r="I50" i="3"/>
  <c r="J77" i="3"/>
  <c r="H79" i="3"/>
  <c r="J78" i="3"/>
  <c r="G30" i="3"/>
  <c r="I15" i="13" s="1"/>
  <c r="H30" i="3"/>
  <c r="G31" i="3"/>
  <c r="I16" i="13" s="1"/>
  <c r="J29" i="3"/>
  <c r="I30" i="3"/>
  <c r="I31" i="3"/>
  <c r="G27" i="3"/>
  <c r="I13" i="13" s="1"/>
  <c r="I26" i="3"/>
  <c r="I28" i="3"/>
  <c r="G28" i="3"/>
  <c r="J27" i="3"/>
  <c r="J28" i="3"/>
  <c r="G36" i="3"/>
  <c r="J35" i="3"/>
  <c r="I35" i="3"/>
  <c r="H35" i="3"/>
  <c r="G35" i="3"/>
  <c r="H36" i="3"/>
  <c r="H25" i="3"/>
  <c r="I23" i="3"/>
  <c r="I25" i="3"/>
  <c r="J24" i="3"/>
  <c r="H24" i="3"/>
  <c r="G25" i="3"/>
  <c r="J55" i="3"/>
  <c r="I55" i="3"/>
  <c r="H55" i="3"/>
  <c r="G55" i="3"/>
  <c r="Q16" i="13" s="1"/>
  <c r="J54" i="3"/>
  <c r="H54" i="3"/>
  <c r="J43" i="3"/>
  <c r="I43" i="3"/>
  <c r="H42" i="3"/>
  <c r="H41" i="3"/>
  <c r="G41" i="3"/>
  <c r="M13" i="13" s="1"/>
  <c r="I42" i="3"/>
  <c r="H14" i="3"/>
  <c r="G15" i="3"/>
  <c r="E11" i="13" s="1"/>
  <c r="I15" i="3"/>
  <c r="J73" i="3"/>
  <c r="H73" i="3"/>
  <c r="H72" i="3"/>
  <c r="I64" i="3"/>
  <c r="H64" i="3"/>
  <c r="G64" i="3"/>
  <c r="U13" i="13" s="1"/>
  <c r="J63" i="3"/>
  <c r="H63" i="3"/>
  <c r="J64" i="3"/>
  <c r="I66" i="3"/>
  <c r="G66" i="3"/>
  <c r="U15" i="13" s="1"/>
  <c r="J65" i="3"/>
  <c r="I65" i="3"/>
  <c r="H65" i="3"/>
  <c r="G65" i="3"/>
  <c r="U14" i="13" s="1"/>
  <c r="I8" i="3"/>
  <c r="E7" i="13" s="1"/>
  <c r="I22" i="5"/>
  <c r="I35" i="13" s="1"/>
  <c r="H22" i="5"/>
  <c r="H20" i="5"/>
  <c r="J21" i="5"/>
  <c r="G22" i="5"/>
  <c r="I32" i="13" s="1"/>
  <c r="G20" i="5"/>
  <c r="I30" i="13" s="1"/>
  <c r="G70" i="6"/>
  <c r="Y45" i="13" s="1"/>
  <c r="I68" i="6"/>
  <c r="Y46" i="13" s="1"/>
  <c r="H69" i="6"/>
  <c r="H70" i="6"/>
  <c r="J68" i="6"/>
  <c r="G69" i="6"/>
  <c r="Y44" i="13" s="1"/>
  <c r="I33" i="4"/>
  <c r="M21" i="13" s="1"/>
  <c r="J34" i="4"/>
  <c r="J32" i="4"/>
  <c r="G33" i="4"/>
  <c r="M18" i="13" s="1"/>
  <c r="H34" i="4"/>
  <c r="H33" i="4"/>
  <c r="I58" i="4"/>
  <c r="U22" i="13" s="1"/>
  <c r="I57" i="4"/>
  <c r="U21" i="13" s="1"/>
  <c r="J58" i="4"/>
  <c r="G58" i="4"/>
  <c r="U19" i="13" s="1"/>
  <c r="G57" i="4"/>
  <c r="U18" i="13" s="1"/>
  <c r="H57" i="4"/>
  <c r="I46" i="4"/>
  <c r="Q22" i="13" s="1"/>
  <c r="H46" i="4"/>
  <c r="G45" i="4"/>
  <c r="Q18" i="13" s="1"/>
  <c r="H45" i="4"/>
  <c r="J45" i="4"/>
  <c r="G44" i="4"/>
  <c r="Q17" i="13" s="1"/>
  <c r="G70" i="3"/>
  <c r="Y6" i="13" s="1"/>
  <c r="I69" i="3"/>
  <c r="Y8" i="13" s="1"/>
  <c r="J68" i="3"/>
  <c r="G34" i="3"/>
  <c r="M6" i="13" s="1"/>
  <c r="J33" i="3"/>
  <c r="I33" i="3"/>
  <c r="M8" i="13" s="1"/>
  <c r="G33" i="3"/>
  <c r="M5" i="13" s="1"/>
  <c r="J32" i="3"/>
  <c r="I32" i="3"/>
  <c r="M7" i="13" s="1"/>
  <c r="I46" i="3"/>
  <c r="Q9" i="13" s="1"/>
  <c r="G51" i="5"/>
  <c r="Q40" i="13" s="1"/>
  <c r="G21" i="4"/>
  <c r="I18" i="13" s="1"/>
  <c r="H21" i="4"/>
  <c r="H51" i="5"/>
  <c r="R545" i="9"/>
  <c r="L545" i="9"/>
  <c r="O545" i="9"/>
  <c r="Q545" i="9"/>
  <c r="M572" i="9"/>
  <c r="O572" i="9"/>
  <c r="N14" i="6" s="1"/>
  <c r="N197" i="9"/>
  <c r="O197" i="9"/>
  <c r="P197" i="9"/>
  <c r="M593" i="9"/>
  <c r="O593" i="9"/>
  <c r="Q593" i="9"/>
  <c r="N593" i="9"/>
  <c r="P593" i="9"/>
  <c r="Q536" i="9"/>
  <c r="L536" i="9"/>
  <c r="M536" i="9"/>
  <c r="P536" i="9"/>
  <c r="Q2" i="9"/>
  <c r="R2" i="9"/>
  <c r="P2" i="9"/>
  <c r="M17" i="9"/>
  <c r="O17" i="9"/>
  <c r="Q17" i="9"/>
  <c r="P32" i="9"/>
  <c r="L32" i="9"/>
  <c r="M32" i="9"/>
  <c r="O32" i="9"/>
  <c r="M38" i="9"/>
  <c r="N38" i="9"/>
  <c r="P38" i="9"/>
  <c r="P203" i="9"/>
  <c r="R203" i="9"/>
  <c r="Q356" i="9"/>
  <c r="R356" i="9"/>
  <c r="M530" i="9"/>
  <c r="O530" i="9"/>
  <c r="R530" i="9"/>
  <c r="N530" i="9"/>
  <c r="L539" i="9"/>
  <c r="M539" i="9"/>
  <c r="O539" i="9"/>
  <c r="P359" i="9"/>
  <c r="O359" i="9"/>
  <c r="M359" i="9"/>
  <c r="Q359" i="9"/>
  <c r="O62" i="9"/>
  <c r="M62" i="9"/>
  <c r="L26" i="3" s="1"/>
  <c r="R62" i="9"/>
  <c r="M362" i="9"/>
  <c r="Q362" i="9"/>
  <c r="L362" i="9"/>
  <c r="L59" i="9"/>
  <c r="N59" i="9"/>
  <c r="P59" i="9"/>
  <c r="L158" i="9"/>
  <c r="N158" i="9"/>
  <c r="P158" i="9"/>
  <c r="R512" i="9"/>
  <c r="M512" i="9"/>
  <c r="N512" i="9"/>
  <c r="P512" i="9"/>
  <c r="R422" i="9"/>
  <c r="Q32" i="3" s="1"/>
  <c r="M422" i="9"/>
  <c r="N422" i="9"/>
  <c r="M32" i="3" s="1"/>
  <c r="P422" i="9"/>
  <c r="M524" i="9"/>
  <c r="L524" i="9"/>
  <c r="P524" i="9"/>
  <c r="R527" i="9"/>
  <c r="L527" i="9"/>
  <c r="P527" i="9"/>
  <c r="R584" i="9"/>
  <c r="L584" i="9"/>
  <c r="N584" i="9"/>
  <c r="Q584" i="9"/>
  <c r="O209" i="9"/>
  <c r="R209" i="9"/>
  <c r="N209" i="9"/>
  <c r="Q209" i="9"/>
  <c r="M155" i="9"/>
  <c r="L155" i="9"/>
  <c r="P155" i="9"/>
  <c r="Q155" i="9"/>
  <c r="L308" i="9"/>
  <c r="O308" i="9"/>
  <c r="R308" i="9"/>
  <c r="N308" i="9"/>
  <c r="P437" i="9"/>
  <c r="N437" i="9"/>
  <c r="Q437" i="9"/>
  <c r="R437" i="9"/>
  <c r="L437" i="9"/>
  <c r="Q575" i="9"/>
  <c r="R575" i="9"/>
  <c r="L575" i="9"/>
  <c r="R125" i="9"/>
  <c r="L125" i="9"/>
  <c r="O125" i="9"/>
  <c r="Q125" i="9"/>
  <c r="R332" i="9"/>
  <c r="M332" i="9"/>
  <c r="L332" i="9"/>
  <c r="N332" i="9"/>
  <c r="P332" i="9"/>
  <c r="O332" i="9"/>
  <c r="M248" i="9"/>
  <c r="N248" i="9"/>
  <c r="L338" i="9"/>
  <c r="R338" i="9"/>
  <c r="N161" i="9"/>
  <c r="R161" i="9"/>
  <c r="L161" i="9"/>
  <c r="M161" i="9"/>
  <c r="O161" i="9"/>
  <c r="L152" i="9"/>
  <c r="P152" i="9"/>
  <c r="Q152" i="9"/>
  <c r="M440" i="9"/>
  <c r="N440" i="9"/>
  <c r="R239" i="9"/>
  <c r="O239" i="9"/>
  <c r="M239" i="9"/>
  <c r="P239" i="9"/>
  <c r="N413" i="9"/>
  <c r="R413" i="9"/>
  <c r="M413" i="9"/>
  <c r="O173" i="9"/>
  <c r="L173" i="9"/>
  <c r="M173" i="9"/>
  <c r="P173" i="9"/>
  <c r="O242" i="9"/>
  <c r="N242" i="9"/>
  <c r="R242" i="9"/>
  <c r="L242" i="9"/>
  <c r="P395" i="9"/>
  <c r="O395" i="9"/>
  <c r="N395" i="9"/>
  <c r="Q395" i="9"/>
  <c r="L395" i="9"/>
  <c r="M395" i="9"/>
  <c r="R341" i="9"/>
  <c r="N341" i="9"/>
  <c r="O341" i="9"/>
  <c r="N518" i="9"/>
  <c r="L518" i="9"/>
  <c r="P518" i="9"/>
  <c r="L227" i="9"/>
  <c r="M227" i="9"/>
  <c r="P227" i="9"/>
  <c r="Q227" i="9"/>
  <c r="N506" i="9"/>
  <c r="M506" i="9"/>
  <c r="L26" i="4" s="1"/>
  <c r="R506" i="9"/>
  <c r="L407" i="9"/>
  <c r="M407" i="9"/>
  <c r="O407" i="9"/>
  <c r="Q407" i="9"/>
  <c r="I19" i="3"/>
  <c r="J30" i="4"/>
  <c r="I78" i="4"/>
  <c r="M347" i="9"/>
  <c r="P347" i="9"/>
  <c r="L347" i="9"/>
  <c r="N536" i="9"/>
  <c r="R17" i="9"/>
  <c r="Q5" i="9"/>
  <c r="L5" i="9"/>
  <c r="O5" i="9"/>
  <c r="N5" i="9"/>
  <c r="R89" i="9"/>
  <c r="Q89" i="9"/>
  <c r="P326" i="9"/>
  <c r="O50" i="5" s="1"/>
  <c r="O326" i="9"/>
  <c r="R326" i="9"/>
  <c r="Q50" i="5" s="1"/>
  <c r="L326" i="9"/>
  <c r="N254" i="9"/>
  <c r="P254" i="9"/>
  <c r="L254" i="9"/>
  <c r="P80" i="9"/>
  <c r="N80" i="9"/>
  <c r="M80" i="9"/>
  <c r="O272" i="9"/>
  <c r="N32" i="3" s="1"/>
  <c r="M272" i="9"/>
  <c r="Q272" i="9"/>
  <c r="P32" i="3" s="1"/>
  <c r="M503" i="9"/>
  <c r="L503" i="9"/>
  <c r="P503" i="9"/>
  <c r="N428" i="9"/>
  <c r="L428" i="9"/>
  <c r="P428" i="9"/>
  <c r="M467" i="9"/>
  <c r="Q467" i="9"/>
  <c r="P32" i="4" s="1"/>
  <c r="Q212" i="9"/>
  <c r="M434" i="9"/>
  <c r="N434" i="9"/>
  <c r="P434" i="9"/>
  <c r="Q434" i="9"/>
  <c r="N194" i="9"/>
  <c r="L194" i="9"/>
  <c r="P194" i="9"/>
  <c r="R302" i="9"/>
  <c r="O302" i="9"/>
  <c r="N302" i="9"/>
  <c r="L302" i="9"/>
  <c r="M302" i="9"/>
  <c r="R581" i="9"/>
  <c r="M581" i="9"/>
  <c r="L581" i="9"/>
  <c r="Q581" i="9"/>
  <c r="N590" i="9"/>
  <c r="R590" i="9"/>
  <c r="L590" i="9"/>
  <c r="R515" i="9"/>
  <c r="M515" i="9"/>
  <c r="O515" i="9"/>
  <c r="Q515" i="9"/>
  <c r="L305" i="9"/>
  <c r="N305" i="9"/>
  <c r="O305" i="9"/>
  <c r="Q305" i="9"/>
  <c r="N131" i="9"/>
  <c r="P131" i="9"/>
  <c r="Q131" i="9"/>
  <c r="N392" i="9"/>
  <c r="P392" i="9"/>
  <c r="Q392" i="9"/>
  <c r="L218" i="9"/>
  <c r="M218" i="9"/>
  <c r="O218" i="9"/>
  <c r="Q218" i="9"/>
  <c r="N299" i="9"/>
  <c r="O299" i="9"/>
  <c r="N74" i="6" s="1"/>
  <c r="N365" i="9"/>
  <c r="M365" i="9"/>
  <c r="L344" i="9"/>
  <c r="Q344" i="9"/>
  <c r="R344" i="9"/>
  <c r="P470" i="9"/>
  <c r="M470" i="9"/>
  <c r="O470" i="9"/>
  <c r="N470" i="9"/>
  <c r="N455" i="9"/>
  <c r="P455" i="9"/>
  <c r="Q455" i="9"/>
  <c r="R455" i="9"/>
  <c r="L320" i="9"/>
  <c r="P320" i="9"/>
  <c r="O320" i="9"/>
  <c r="Q320" i="9"/>
  <c r="R320" i="9"/>
  <c r="N170" i="9"/>
  <c r="M287" i="9"/>
  <c r="L62" i="3" s="1"/>
  <c r="O287" i="9"/>
  <c r="Q287" i="9"/>
  <c r="L533" i="9"/>
  <c r="N533" i="9"/>
  <c r="P533" i="9"/>
  <c r="R533" i="9"/>
  <c r="M275" i="9"/>
  <c r="O275" i="9"/>
  <c r="N14" i="3" s="1"/>
  <c r="Q275" i="9"/>
  <c r="P14" i="3" s="1"/>
  <c r="O401" i="9"/>
  <c r="R401" i="9"/>
  <c r="M401" i="9"/>
  <c r="L401" i="9"/>
  <c r="M509" i="9"/>
  <c r="N509" i="9"/>
  <c r="Q509" i="9"/>
  <c r="O509" i="9"/>
  <c r="M251" i="9"/>
  <c r="N251" i="9"/>
  <c r="Q251" i="9"/>
  <c r="M140" i="9"/>
  <c r="O140" i="9"/>
  <c r="R140" i="9"/>
  <c r="L140" i="9"/>
  <c r="L410" i="9"/>
  <c r="R410" i="9"/>
  <c r="P410" i="9"/>
  <c r="M71" i="9"/>
  <c r="N29" i="9"/>
  <c r="M32" i="6" s="1"/>
  <c r="P29" i="9"/>
  <c r="O32" i="6" s="1"/>
  <c r="R479" i="9"/>
  <c r="M380" i="9"/>
  <c r="Q479" i="9"/>
  <c r="R380" i="9"/>
  <c r="Q491" i="9"/>
  <c r="P170" i="9"/>
  <c r="Q170" i="9"/>
  <c r="P491" i="9"/>
  <c r="O491" i="9"/>
  <c r="M491" i="9"/>
  <c r="Q20" i="9"/>
  <c r="O20" i="9"/>
  <c r="L170" i="9"/>
  <c r="Q101" i="9"/>
  <c r="O101" i="9"/>
  <c r="M101" i="9"/>
  <c r="Q548" i="9"/>
  <c r="O548" i="9"/>
  <c r="N548" i="9"/>
  <c r="Q452" i="9"/>
  <c r="P8" i="3" s="1"/>
  <c r="O452" i="9"/>
  <c r="N8" i="3" s="1"/>
  <c r="R71" i="9"/>
  <c r="Q365" i="9"/>
  <c r="P71" i="9"/>
  <c r="O365" i="9"/>
  <c r="R470" i="9"/>
  <c r="O455" i="9"/>
  <c r="N344" i="9"/>
  <c r="L470" i="9"/>
  <c r="N320" i="9"/>
  <c r="Q191" i="9"/>
  <c r="R287" i="9"/>
  <c r="N287" i="9"/>
  <c r="M479" i="9"/>
  <c r="O533" i="9"/>
  <c r="R275" i="9"/>
  <c r="N275" i="9"/>
  <c r="M14" i="3" s="1"/>
  <c r="N179" i="9"/>
  <c r="L179" i="9"/>
  <c r="N458" i="9"/>
  <c r="O458" i="9"/>
  <c r="P458" i="9"/>
  <c r="Q458" i="9"/>
  <c r="R458" i="9"/>
  <c r="M191" i="9"/>
  <c r="O191" i="9"/>
  <c r="P191" i="9"/>
  <c r="R191" i="9"/>
  <c r="L191" i="9"/>
  <c r="O425" i="9"/>
  <c r="P425" i="9"/>
  <c r="R425" i="9"/>
  <c r="L425" i="9"/>
  <c r="L83" i="9"/>
  <c r="R83" i="9"/>
  <c r="O83" i="9"/>
  <c r="Q83" i="9"/>
  <c r="L323" i="9"/>
  <c r="N323" i="9"/>
  <c r="Q323" i="9"/>
  <c r="M68" i="9"/>
  <c r="R68" i="9"/>
  <c r="P68" i="9"/>
  <c r="N68" i="9"/>
  <c r="L416" i="9"/>
  <c r="N416" i="9"/>
  <c r="P416" i="9"/>
  <c r="L233" i="9"/>
  <c r="M233" i="9"/>
  <c r="O233" i="9"/>
  <c r="Q233" i="9"/>
  <c r="L56" i="9"/>
  <c r="N56" i="9"/>
  <c r="O56" i="9"/>
  <c r="Q56" i="9"/>
  <c r="L41" i="9"/>
  <c r="Q41" i="9"/>
  <c r="P41" i="9"/>
  <c r="N41" i="9"/>
  <c r="L521" i="9"/>
  <c r="N521" i="9"/>
  <c r="P521" i="9"/>
  <c r="R521" i="9"/>
  <c r="L236" i="9"/>
  <c r="N236" i="9"/>
  <c r="P236" i="9"/>
  <c r="R8" i="9"/>
  <c r="N8" i="9"/>
  <c r="M26" i="3" s="1"/>
  <c r="Q8" i="9"/>
  <c r="P14" i="7" s="1"/>
  <c r="N35" i="9"/>
  <c r="R35" i="9"/>
  <c r="R398" i="9"/>
  <c r="N398" i="9"/>
  <c r="R476" i="9"/>
  <c r="O476" i="9"/>
  <c r="P476" i="9"/>
  <c r="Q206" i="9"/>
  <c r="N206" i="9"/>
  <c r="R11" i="9"/>
  <c r="O11" i="9"/>
  <c r="Q11" i="9"/>
  <c r="O290" i="9"/>
  <c r="Q290" i="9"/>
  <c r="N290" i="9"/>
  <c r="Q146" i="9"/>
  <c r="O146" i="9"/>
  <c r="P146" i="9"/>
  <c r="L329" i="9"/>
  <c r="N329" i="9"/>
  <c r="O329" i="9"/>
  <c r="L488" i="9"/>
  <c r="Q488" i="9"/>
  <c r="O488" i="9"/>
  <c r="N446" i="9"/>
  <c r="Q383" i="9"/>
  <c r="M383" i="9"/>
  <c r="P383" i="9"/>
  <c r="L383" i="9"/>
  <c r="N77" i="9"/>
  <c r="R77" i="9"/>
  <c r="Q77" i="9"/>
  <c r="O77" i="9"/>
  <c r="L77" i="9"/>
  <c r="Q143" i="9"/>
  <c r="M143" i="9"/>
  <c r="P143" i="9"/>
  <c r="L143" i="9"/>
  <c r="O596" i="9"/>
  <c r="R596" i="9"/>
  <c r="Q32" i="4" s="1"/>
  <c r="N596" i="9"/>
  <c r="M32" i="4" s="1"/>
  <c r="M86" i="9"/>
  <c r="R86" i="9"/>
  <c r="Q38" i="6" s="1"/>
  <c r="P86" i="9"/>
  <c r="N86" i="9"/>
  <c r="L122" i="9"/>
  <c r="P122" i="9"/>
  <c r="R122" i="9"/>
  <c r="M485" i="9"/>
  <c r="R485" i="9"/>
  <c r="Q485" i="9"/>
  <c r="O485" i="9"/>
  <c r="N215" i="9"/>
  <c r="M215" i="9"/>
  <c r="P215" i="9"/>
  <c r="M266" i="9"/>
  <c r="N266" i="9"/>
  <c r="P266" i="9"/>
  <c r="Q266" i="9"/>
  <c r="P221" i="9"/>
  <c r="L221" i="9"/>
  <c r="L164" i="9"/>
  <c r="M164" i="9"/>
  <c r="N164" i="9"/>
  <c r="O164" i="9"/>
  <c r="N50" i="7" s="1"/>
  <c r="P164" i="9"/>
  <c r="O50" i="7" s="1"/>
  <c r="Q164" i="9"/>
  <c r="R164" i="9"/>
  <c r="P281" i="9"/>
  <c r="Q419" i="9"/>
  <c r="M419" i="9"/>
  <c r="P419" i="9"/>
  <c r="Q464" i="9"/>
  <c r="O464" i="9"/>
  <c r="M464" i="9"/>
  <c r="P464" i="9"/>
  <c r="O188" i="9"/>
  <c r="R188" i="9"/>
  <c r="N188" i="9"/>
  <c r="R374" i="9"/>
  <c r="L374" i="9"/>
  <c r="Q374" i="9"/>
  <c r="M374" i="9"/>
  <c r="P257" i="9"/>
  <c r="L257" i="9"/>
  <c r="O257" i="9"/>
  <c r="Q119" i="9"/>
  <c r="M119" i="9"/>
  <c r="P119" i="9"/>
  <c r="L119" i="9"/>
  <c r="O119" i="9"/>
  <c r="R119" i="9"/>
  <c r="N119" i="9"/>
  <c r="Q104" i="9"/>
  <c r="M104" i="9"/>
  <c r="P104" i="9"/>
  <c r="L104" i="9"/>
  <c r="O104" i="9"/>
  <c r="R104" i="9"/>
  <c r="N104" i="9"/>
  <c r="Q473" i="9"/>
  <c r="M473" i="9"/>
  <c r="P473" i="9"/>
  <c r="L473" i="9"/>
  <c r="O473" i="9"/>
  <c r="N26" i="4" s="1"/>
  <c r="R473" i="9"/>
  <c r="N473" i="9"/>
  <c r="O281" i="9"/>
  <c r="L260" i="9"/>
  <c r="N230" i="9"/>
  <c r="P260" i="9"/>
  <c r="O446" i="9"/>
  <c r="M260" i="9"/>
  <c r="M317" i="9"/>
  <c r="S317" i="9" s="1"/>
  <c r="R446" i="9"/>
  <c r="L281" i="9"/>
  <c r="L419" i="9"/>
  <c r="R137" i="9"/>
  <c r="Q137" i="9"/>
  <c r="P137" i="9"/>
  <c r="O137" i="9"/>
  <c r="N137" i="9"/>
  <c r="M137" i="9"/>
  <c r="L26" i="6" s="1"/>
  <c r="M134" i="9"/>
  <c r="O602" i="9"/>
  <c r="N605" i="9"/>
  <c r="R605" i="9"/>
  <c r="Q608" i="9"/>
  <c r="P611" i="9"/>
  <c r="O614" i="9"/>
  <c r="N617" i="9"/>
  <c r="R617" i="9"/>
  <c r="Q620" i="9"/>
  <c r="M77" i="9"/>
  <c r="P77" i="9"/>
  <c r="P134" i="9"/>
  <c r="L134" i="9"/>
  <c r="N602" i="9"/>
  <c r="R602" i="9"/>
  <c r="Q605" i="9"/>
  <c r="P608" i="9"/>
  <c r="O611" i="9"/>
  <c r="N614" i="9"/>
  <c r="R614" i="9"/>
  <c r="Q617" i="9"/>
  <c r="P620" i="9"/>
  <c r="N50" i="9"/>
  <c r="R50" i="9"/>
  <c r="L116" i="9"/>
  <c r="P116" i="9"/>
  <c r="M116" i="9"/>
  <c r="M542" i="9"/>
  <c r="N542" i="9"/>
  <c r="N143" i="9"/>
  <c r="R143" i="9"/>
  <c r="I71" i="7"/>
  <c r="G73" i="7"/>
  <c r="J79" i="7"/>
  <c r="I79" i="7"/>
  <c r="I77" i="7"/>
  <c r="I78" i="7"/>
  <c r="G78" i="7"/>
  <c r="Y67" i="13" s="1"/>
  <c r="J77" i="7"/>
  <c r="H79" i="7"/>
  <c r="I73" i="7"/>
  <c r="J71" i="7"/>
  <c r="H73" i="7"/>
  <c r="H72" i="7"/>
  <c r="F68" i="7"/>
  <c r="M74" i="7"/>
  <c r="P74" i="7"/>
  <c r="I78" i="5"/>
  <c r="G78" i="5"/>
  <c r="Y41" i="13" s="1"/>
  <c r="J78" i="5"/>
  <c r="J79" i="5"/>
  <c r="H71" i="5"/>
  <c r="J72" i="5"/>
  <c r="I73" i="5"/>
  <c r="H72" i="5"/>
  <c r="I71" i="5"/>
  <c r="G73" i="5"/>
  <c r="F68" i="5"/>
  <c r="O74" i="5"/>
  <c r="L74" i="5"/>
  <c r="M74" i="5"/>
  <c r="P68" i="4"/>
  <c r="G72" i="4"/>
  <c r="G73" i="4"/>
  <c r="I71" i="4"/>
  <c r="G77" i="4"/>
  <c r="Y27" i="13" s="1"/>
  <c r="H79" i="4"/>
  <c r="G75" i="4"/>
  <c r="Y25" i="13" s="1"/>
  <c r="H77" i="4"/>
  <c r="I76" i="4"/>
  <c r="J77" i="4"/>
  <c r="H75" i="4"/>
  <c r="I74" i="4"/>
  <c r="G78" i="4"/>
  <c r="Y28" i="13" s="1"/>
  <c r="J74" i="4"/>
  <c r="J75" i="4"/>
  <c r="I79" i="4"/>
  <c r="H73" i="4"/>
  <c r="I72" i="4"/>
  <c r="G79" i="4"/>
  <c r="Y29" i="13" s="1"/>
  <c r="J73" i="4"/>
  <c r="H71" i="4"/>
  <c r="G71" i="4"/>
  <c r="J78" i="4"/>
  <c r="M74" i="4"/>
  <c r="O74" i="4"/>
  <c r="K74" i="4"/>
  <c r="H74" i="4"/>
  <c r="I68" i="3"/>
  <c r="Y7" i="13" s="1"/>
  <c r="H70" i="3"/>
  <c r="J70" i="3"/>
  <c r="H69" i="3"/>
  <c r="J69" i="3"/>
  <c r="G68" i="3"/>
  <c r="Y4" i="13" s="1"/>
  <c r="K68" i="3"/>
  <c r="M68" i="3"/>
  <c r="J72" i="3"/>
  <c r="G71" i="3"/>
  <c r="H71" i="3"/>
  <c r="I71" i="3"/>
  <c r="J71" i="3"/>
  <c r="G72" i="3"/>
  <c r="I78" i="3"/>
  <c r="G77" i="3"/>
  <c r="Y14" i="13" s="1"/>
  <c r="H77" i="3"/>
  <c r="I77" i="3"/>
  <c r="H78" i="3"/>
  <c r="J79" i="3"/>
  <c r="K74" i="3"/>
  <c r="M74" i="3"/>
  <c r="O74" i="3"/>
  <c r="H9" i="3"/>
  <c r="H8" i="3"/>
  <c r="I9" i="3"/>
  <c r="E8" i="13" s="1"/>
  <c r="G16" i="3"/>
  <c r="E12" i="13" s="1"/>
  <c r="I16" i="3"/>
  <c r="H15" i="3"/>
  <c r="G14" i="3"/>
  <c r="E13" i="13" s="1"/>
  <c r="J16" i="3"/>
  <c r="J15" i="3"/>
  <c r="I18" i="3"/>
  <c r="H17" i="3"/>
  <c r="G17" i="3"/>
  <c r="E14" i="13" s="1"/>
  <c r="I17" i="3"/>
  <c r="J18" i="3"/>
  <c r="K14" i="3"/>
  <c r="Q14" i="3"/>
  <c r="H10" i="3"/>
  <c r="J8" i="3"/>
  <c r="J9" i="3"/>
  <c r="G10" i="3"/>
  <c r="E6" i="13" s="1"/>
  <c r="I10" i="3"/>
  <c r="E9" i="13" s="1"/>
  <c r="G8" i="3"/>
  <c r="E4" i="13" s="1"/>
  <c r="G9" i="3"/>
  <c r="E5" i="13" s="1"/>
  <c r="Q8" i="3"/>
  <c r="B8" i="4"/>
  <c r="B20" i="4" s="1"/>
  <c r="B32" i="4" s="1"/>
  <c r="B44" i="4" s="1"/>
  <c r="B56" i="4" s="1"/>
  <c r="B68" i="3"/>
  <c r="L56" i="4"/>
  <c r="I70" i="4"/>
  <c r="Y22" i="13" s="1"/>
  <c r="G70" i="4"/>
  <c r="Y19" i="13" s="1"/>
  <c r="Q68" i="4"/>
  <c r="M68" i="4"/>
  <c r="H69" i="4"/>
  <c r="Q56" i="6"/>
  <c r="J11" i="5"/>
  <c r="N74" i="5"/>
  <c r="P74" i="5"/>
  <c r="K74" i="5"/>
  <c r="N50" i="5"/>
  <c r="K74" i="7"/>
  <c r="O74" i="7"/>
  <c r="L74" i="7"/>
  <c r="H64" i="4"/>
  <c r="S44" i="4"/>
  <c r="S62" i="3"/>
  <c r="S50" i="5"/>
  <c r="S14" i="7"/>
  <c r="S50" i="7"/>
  <c r="S26" i="6"/>
  <c r="S14" i="6"/>
  <c r="S74" i="3"/>
  <c r="S62" i="7"/>
  <c r="S74" i="4"/>
  <c r="S32" i="6"/>
  <c r="S8" i="3"/>
  <c r="S20" i="4"/>
  <c r="S32" i="5"/>
  <c r="S8" i="4"/>
  <c r="N20" i="3" l="1"/>
  <c r="N56" i="5"/>
  <c r="P20" i="3"/>
  <c r="P56" i="5"/>
  <c r="L50" i="5"/>
  <c r="K68" i="4"/>
  <c r="O68" i="4"/>
  <c r="I69" i="4"/>
  <c r="Y21" i="13" s="1"/>
  <c r="G68" i="4"/>
  <c r="Y17" i="13" s="1"/>
  <c r="J70" i="4"/>
  <c r="L68" i="4"/>
  <c r="Q26" i="4"/>
  <c r="K50" i="7"/>
  <c r="M20" i="3"/>
  <c r="M56" i="5"/>
  <c r="K20" i="3"/>
  <c r="K56" i="5"/>
  <c r="I68" i="4"/>
  <c r="Y20" i="13" s="1"/>
  <c r="J45" i="3"/>
  <c r="G69" i="4"/>
  <c r="Y18" i="13" s="1"/>
  <c r="P74" i="9"/>
  <c r="M74" i="9"/>
  <c r="Q74" i="9"/>
  <c r="H8" i="4"/>
  <c r="L44" i="4"/>
  <c r="L56" i="5"/>
  <c r="M50" i="5"/>
  <c r="P50" i="5"/>
  <c r="I58" i="7"/>
  <c r="U61" i="13" s="1"/>
  <c r="H57" i="7"/>
  <c r="J22" i="3"/>
  <c r="G9" i="4"/>
  <c r="E18" i="13" s="1"/>
  <c r="H10" i="4"/>
  <c r="J44" i="7"/>
  <c r="J45" i="7"/>
  <c r="H45" i="7"/>
  <c r="I45" i="7"/>
  <c r="Q60" i="13" s="1"/>
  <c r="G21" i="3"/>
  <c r="I5" i="13" s="1"/>
  <c r="H22" i="3"/>
  <c r="I21" i="3"/>
  <c r="I8" i="13" s="1"/>
  <c r="I22" i="3"/>
  <c r="I9" i="13" s="1"/>
  <c r="G20" i="3"/>
  <c r="I4" i="13" s="1"/>
  <c r="H21" i="3"/>
  <c r="A13" i="1"/>
  <c r="A14" i="1" s="1"/>
  <c r="B14" i="1" s="1"/>
  <c r="J56" i="7"/>
  <c r="I57" i="7"/>
  <c r="U60" i="13" s="1"/>
  <c r="Q44" i="3"/>
  <c r="J46" i="7"/>
  <c r="H46" i="7"/>
  <c r="G44" i="7"/>
  <c r="Q56" i="13" s="1"/>
  <c r="I56" i="7"/>
  <c r="U59" i="13" s="1"/>
  <c r="J20" i="3"/>
  <c r="H20" i="3"/>
  <c r="J44" i="5"/>
  <c r="O44" i="5"/>
  <c r="Q32" i="5"/>
  <c r="I45" i="5"/>
  <c r="Q34" i="13" s="1"/>
  <c r="I34" i="5"/>
  <c r="M35" i="13" s="1"/>
  <c r="J58" i="7"/>
  <c r="J57" i="7"/>
  <c r="H58" i="7"/>
  <c r="G57" i="7"/>
  <c r="U57" i="13" s="1"/>
  <c r="Q56" i="7"/>
  <c r="H45" i="5"/>
  <c r="H56" i="7"/>
  <c r="G56" i="7"/>
  <c r="U56" i="13" s="1"/>
  <c r="P32" i="5"/>
  <c r="G33" i="5"/>
  <c r="M31" i="13" s="1"/>
  <c r="L32" i="5"/>
  <c r="P44" i="7"/>
  <c r="L56" i="7"/>
  <c r="L50" i="7"/>
  <c r="O20" i="4"/>
  <c r="P62" i="6"/>
  <c r="L32" i="4"/>
  <c r="N44" i="7"/>
  <c r="N56" i="4"/>
  <c r="N56" i="7"/>
  <c r="M26" i="4"/>
  <c r="P50" i="7"/>
  <c r="P56" i="6"/>
  <c r="O14" i="7"/>
  <c r="S293" i="9"/>
  <c r="S26" i="9"/>
  <c r="S110" i="9"/>
  <c r="S569" i="9"/>
  <c r="S497" i="9"/>
  <c r="S587" i="9"/>
  <c r="S263" i="9"/>
  <c r="N32" i="4"/>
  <c r="N62" i="6"/>
  <c r="N8" i="6"/>
  <c r="S443" i="9"/>
  <c r="L44" i="7"/>
  <c r="K56" i="4"/>
  <c r="Q50" i="7"/>
  <c r="M50" i="7"/>
  <c r="L20" i="4"/>
  <c r="M62" i="3"/>
  <c r="L50" i="6"/>
  <c r="O44" i="6"/>
  <c r="S599" i="9"/>
  <c r="S449" i="9"/>
  <c r="S353" i="9"/>
  <c r="E16" i="13"/>
  <c r="Q50" i="4"/>
  <c r="R50" i="4" s="1"/>
  <c r="Q20" i="5"/>
  <c r="K44" i="5"/>
  <c r="O26" i="6"/>
  <c r="K50" i="6"/>
  <c r="K50" i="5"/>
  <c r="N62" i="3"/>
  <c r="M26" i="6"/>
  <c r="Q44" i="5"/>
  <c r="Q44" i="6"/>
  <c r="O56" i="7"/>
  <c r="L44" i="5"/>
  <c r="I46" i="5"/>
  <c r="Q35" i="13" s="1"/>
  <c r="G45" i="5"/>
  <c r="Q31" i="13" s="1"/>
  <c r="H46" i="5"/>
  <c r="J46" i="5"/>
  <c r="Q30" i="13"/>
  <c r="H44" i="3"/>
  <c r="G8" i="4"/>
  <c r="E17" i="13" s="1"/>
  <c r="G10" i="4"/>
  <c r="E19" i="13" s="1"/>
  <c r="H9" i="4"/>
  <c r="A12" i="1"/>
  <c r="B12" i="1" s="1"/>
  <c r="R62" i="7"/>
  <c r="K56" i="7"/>
  <c r="P56" i="7"/>
  <c r="M56" i="7"/>
  <c r="I44" i="5"/>
  <c r="Q33" i="13" s="1"/>
  <c r="J45" i="5"/>
  <c r="H45" i="3"/>
  <c r="H46" i="3"/>
  <c r="N50" i="3"/>
  <c r="P50" i="3"/>
  <c r="K62" i="4"/>
  <c r="O20" i="6"/>
  <c r="O32" i="3"/>
  <c r="O26" i="4"/>
  <c r="K26" i="4"/>
  <c r="O62" i="4"/>
  <c r="Q14" i="7"/>
  <c r="P26" i="6"/>
  <c r="K50" i="3"/>
  <c r="Q62" i="6"/>
  <c r="P26" i="4"/>
  <c r="M50" i="6"/>
  <c r="L62" i="4"/>
  <c r="Q20" i="4"/>
  <c r="P62" i="4"/>
  <c r="N26" i="6"/>
  <c r="O62" i="6"/>
  <c r="L62" i="6"/>
  <c r="O44" i="7"/>
  <c r="K32" i="3"/>
  <c r="Q26" i="6"/>
  <c r="L14" i="7"/>
  <c r="Q44" i="7"/>
  <c r="M62" i="5"/>
  <c r="M14" i="7"/>
  <c r="N62" i="5"/>
  <c r="N14" i="7"/>
  <c r="K8" i="6"/>
  <c r="I8" i="4"/>
  <c r="E20" i="13" s="1"/>
  <c r="I9" i="4"/>
  <c r="E21" i="13" s="1"/>
  <c r="I10" i="4"/>
  <c r="E22" i="13" s="1"/>
  <c r="J8" i="4"/>
  <c r="J9" i="4"/>
  <c r="J46" i="3"/>
  <c r="I45" i="3"/>
  <c r="Q8" i="13" s="1"/>
  <c r="G46" i="3"/>
  <c r="Q6" i="13" s="1"/>
  <c r="G44" i="3"/>
  <c r="Q4" i="13" s="1"/>
  <c r="J44" i="3"/>
  <c r="I44" i="3"/>
  <c r="Q7" i="13" s="1"/>
  <c r="U30" i="13"/>
  <c r="U35" i="13"/>
  <c r="J9" i="6"/>
  <c r="U31" i="13"/>
  <c r="J8" i="6"/>
  <c r="H10" i="6"/>
  <c r="H20" i="7"/>
  <c r="H22" i="7"/>
  <c r="G8" i="6"/>
  <c r="E43" i="13" s="1"/>
  <c r="G9" i="6"/>
  <c r="E44" i="13" s="1"/>
  <c r="G10" i="6"/>
  <c r="E45" i="13" s="1"/>
  <c r="J21" i="7"/>
  <c r="I20" i="7"/>
  <c r="I59" i="13" s="1"/>
  <c r="I21" i="7"/>
  <c r="I60" i="13" s="1"/>
  <c r="I22" i="7"/>
  <c r="I61" i="13" s="1"/>
  <c r="H70" i="4"/>
  <c r="H68" i="4"/>
  <c r="N68" i="4"/>
  <c r="R68" i="4" s="1"/>
  <c r="L20" i="7"/>
  <c r="U34" i="13"/>
  <c r="H8" i="6"/>
  <c r="J10" i="6"/>
  <c r="U33" i="13"/>
  <c r="U32" i="13"/>
  <c r="H9" i="6"/>
  <c r="H21" i="7"/>
  <c r="I8" i="6"/>
  <c r="E46" i="13" s="1"/>
  <c r="I9" i="6"/>
  <c r="E47" i="13" s="1"/>
  <c r="J20" i="7"/>
  <c r="J22" i="7"/>
  <c r="G20" i="7"/>
  <c r="I56" i="13" s="1"/>
  <c r="G21" i="7"/>
  <c r="I57" i="13" s="1"/>
  <c r="O32" i="5"/>
  <c r="B9" i="1"/>
  <c r="A10" i="1"/>
  <c r="B10" i="1" s="1"/>
  <c r="I8" i="5"/>
  <c r="E33" i="13" s="1"/>
  <c r="I10" i="5"/>
  <c r="E35" i="13" s="1"/>
  <c r="G8" i="5"/>
  <c r="E30" i="13" s="1"/>
  <c r="G10" i="5"/>
  <c r="E32" i="13" s="1"/>
  <c r="H8" i="5"/>
  <c r="H9" i="5"/>
  <c r="H10" i="5"/>
  <c r="I9" i="5"/>
  <c r="E34" i="13" s="1"/>
  <c r="G9" i="5"/>
  <c r="E31" i="13" s="1"/>
  <c r="J8" i="5"/>
  <c r="J9" i="5"/>
  <c r="P8" i="4"/>
  <c r="N8" i="4"/>
  <c r="L8" i="4"/>
  <c r="Q8" i="4"/>
  <c r="O8" i="4"/>
  <c r="M8" i="4"/>
  <c r="K8" i="4"/>
  <c r="K62" i="5"/>
  <c r="R38" i="6"/>
  <c r="S314" i="9"/>
  <c r="M8" i="3"/>
  <c r="S92" i="9"/>
  <c r="N44" i="5"/>
  <c r="P62" i="5"/>
  <c r="N50" i="6"/>
  <c r="M44" i="4"/>
  <c r="Q8" i="7"/>
  <c r="Q20" i="6"/>
  <c r="L50" i="3"/>
  <c r="O50" i="3"/>
  <c r="Q44" i="4"/>
  <c r="M44" i="5"/>
  <c r="L8" i="3"/>
  <c r="S284" i="9"/>
  <c r="P56" i="4"/>
  <c r="P20" i="6"/>
  <c r="Q50" i="3"/>
  <c r="S230" i="9"/>
  <c r="O50" i="6"/>
  <c r="P50" i="6"/>
  <c r="Q50" i="6"/>
  <c r="P44" i="4"/>
  <c r="P26" i="5"/>
  <c r="O56" i="4"/>
  <c r="O8" i="7"/>
  <c r="P20" i="5"/>
  <c r="N32" i="5"/>
  <c r="O20" i="5"/>
  <c r="S212" i="9"/>
  <c r="O56" i="6"/>
  <c r="S113" i="9"/>
  <c r="O44" i="3"/>
  <c r="S167" i="9"/>
  <c r="S620" i="9"/>
  <c r="S611" i="9"/>
  <c r="S281" i="9"/>
  <c r="O62" i="5"/>
  <c r="S371" i="9"/>
  <c r="S47" i="9"/>
  <c r="S542" i="9"/>
  <c r="S602" i="9"/>
  <c r="S425" i="9"/>
  <c r="S191" i="9"/>
  <c r="S179" i="9"/>
  <c r="S470" i="9"/>
  <c r="S170" i="9"/>
  <c r="S29" i="9"/>
  <c r="S251" i="9"/>
  <c r="M20" i="5"/>
  <c r="S479" i="9"/>
  <c r="S362" i="9"/>
  <c r="S203" i="9"/>
  <c r="S377" i="9"/>
  <c r="S482" i="9"/>
  <c r="S107" i="9"/>
  <c r="S404" i="9"/>
  <c r="S335" i="9"/>
  <c r="R74" i="4"/>
  <c r="R32" i="6"/>
  <c r="S614" i="9"/>
  <c r="S608" i="9"/>
  <c r="S617" i="9"/>
  <c r="S419" i="9"/>
  <c r="S596" i="9"/>
  <c r="S383" i="9"/>
  <c r="S290" i="9"/>
  <c r="Q62" i="4"/>
  <c r="Q62" i="5"/>
  <c r="S35" i="9"/>
  <c r="S287" i="9"/>
  <c r="S455" i="9"/>
  <c r="S590" i="9"/>
  <c r="S581" i="9"/>
  <c r="S302" i="9"/>
  <c r="S503" i="9"/>
  <c r="S254" i="9"/>
  <c r="S506" i="9"/>
  <c r="S341" i="9"/>
  <c r="S242" i="9"/>
  <c r="S413" i="9"/>
  <c r="S239" i="9"/>
  <c r="S440" i="9"/>
  <c r="S338" i="9"/>
  <c r="S248" i="9"/>
  <c r="Q62" i="3"/>
  <c r="S437" i="9"/>
  <c r="S209" i="9"/>
  <c r="S527" i="9"/>
  <c r="Q26" i="3"/>
  <c r="N26" i="5"/>
  <c r="S2" i="9"/>
  <c r="N26" i="3"/>
  <c r="K8" i="3"/>
  <c r="S95" i="9"/>
  <c r="S74" i="9"/>
  <c r="O44" i="4"/>
  <c r="O20" i="3"/>
  <c r="L20" i="3"/>
  <c r="L44" i="3"/>
  <c r="S605" i="9"/>
  <c r="M62" i="4"/>
  <c r="N20" i="5"/>
  <c r="S548" i="9"/>
  <c r="M62" i="6"/>
  <c r="S275" i="9"/>
  <c r="P62" i="3"/>
  <c r="L14" i="3"/>
  <c r="R14" i="3" s="1"/>
  <c r="S245" i="9"/>
  <c r="P26" i="3"/>
  <c r="S23" i="9"/>
  <c r="Q56" i="4"/>
  <c r="Q20" i="3"/>
  <c r="S11" i="9"/>
  <c r="Q20" i="7"/>
  <c r="O20" i="7"/>
  <c r="P8" i="6"/>
  <c r="O8" i="6"/>
  <c r="Q8" i="6"/>
  <c r="L8" i="6"/>
  <c r="M32" i="5"/>
  <c r="I32" i="5"/>
  <c r="M33" i="13" s="1"/>
  <c r="J33" i="5"/>
  <c r="K32" i="5"/>
  <c r="J32" i="5"/>
  <c r="J34" i="5"/>
  <c r="I33" i="5"/>
  <c r="M34" i="13" s="1"/>
  <c r="G34" i="5"/>
  <c r="M32" i="13" s="1"/>
  <c r="G32" i="5"/>
  <c r="M30" i="13" s="1"/>
  <c r="Q8" i="5"/>
  <c r="S473" i="9"/>
  <c r="S119" i="9"/>
  <c r="S164" i="9"/>
  <c r="S485" i="9"/>
  <c r="S446" i="9"/>
  <c r="S329" i="9"/>
  <c r="S8" i="9"/>
  <c r="M26" i="5"/>
  <c r="S236" i="9"/>
  <c r="S416" i="9"/>
  <c r="S68" i="9"/>
  <c r="S410" i="9"/>
  <c r="S320" i="9"/>
  <c r="S365" i="9"/>
  <c r="L20" i="5"/>
  <c r="S392" i="9"/>
  <c r="S515" i="9"/>
  <c r="S434" i="9"/>
  <c r="N56" i="6"/>
  <c r="N44" i="3"/>
  <c r="N20" i="7"/>
  <c r="N20" i="4"/>
  <c r="N44" i="4"/>
  <c r="P44" i="5"/>
  <c r="P8" i="5"/>
  <c r="P20" i="4"/>
  <c r="P44" i="3"/>
  <c r="P8" i="7"/>
  <c r="P20" i="7"/>
  <c r="S452" i="9"/>
  <c r="S407" i="9"/>
  <c r="S173" i="9"/>
  <c r="S161" i="9"/>
  <c r="S332" i="9"/>
  <c r="S308" i="9"/>
  <c r="S59" i="9"/>
  <c r="Q26" i="5"/>
  <c r="S359" i="9"/>
  <c r="S38" i="9"/>
  <c r="M44" i="7"/>
  <c r="S572" i="9"/>
  <c r="L14" i="6"/>
  <c r="R14" i="6" s="1"/>
  <c r="S197" i="9"/>
  <c r="R68" i="3"/>
  <c r="S116" i="9"/>
  <c r="S50" i="9"/>
  <c r="M50" i="3"/>
  <c r="S134" i="9"/>
  <c r="S137" i="9"/>
  <c r="S260" i="9"/>
  <c r="S104" i="9"/>
  <c r="S257" i="9"/>
  <c r="S374" i="9"/>
  <c r="S188" i="9"/>
  <c r="S464" i="9"/>
  <c r="S221" i="9"/>
  <c r="S266" i="9"/>
  <c r="L62" i="5"/>
  <c r="S215" i="9"/>
  <c r="S122" i="9"/>
  <c r="S86" i="9"/>
  <c r="S143" i="9"/>
  <c r="S77" i="9"/>
  <c r="S488" i="9"/>
  <c r="S476" i="9"/>
  <c r="S398" i="9"/>
  <c r="M8" i="6"/>
  <c r="S146" i="9"/>
  <c r="S521" i="9"/>
  <c r="S41" i="9"/>
  <c r="S56" i="9"/>
  <c r="S233" i="9"/>
  <c r="S323" i="9"/>
  <c r="S83" i="9"/>
  <c r="S458" i="9"/>
  <c r="S101" i="9"/>
  <c r="S20" i="9"/>
  <c r="N62" i="4"/>
  <c r="S380" i="9"/>
  <c r="S71" i="9"/>
  <c r="S206" i="9"/>
  <c r="S140" i="9"/>
  <c r="S509" i="9"/>
  <c r="S401" i="9"/>
  <c r="S533" i="9"/>
  <c r="K14" i="7"/>
  <c r="S344" i="9"/>
  <c r="S491" i="9"/>
  <c r="M74" i="6"/>
  <c r="R74" i="6" s="1"/>
  <c r="S299" i="9"/>
  <c r="S218" i="9"/>
  <c r="S131" i="9"/>
  <c r="K26" i="6"/>
  <c r="S305" i="9"/>
  <c r="S194" i="9"/>
  <c r="S467" i="9"/>
  <c r="S428" i="9"/>
  <c r="S272" i="9"/>
  <c r="S80" i="9"/>
  <c r="S326" i="9"/>
  <c r="S89" i="9"/>
  <c r="M56" i="6"/>
  <c r="M20" i="7"/>
  <c r="M56" i="4"/>
  <c r="M20" i="4"/>
  <c r="M44" i="3"/>
  <c r="S5" i="9"/>
  <c r="K20" i="7"/>
  <c r="K20" i="5"/>
  <c r="K20" i="4"/>
  <c r="K44" i="4"/>
  <c r="K44" i="7"/>
  <c r="K44" i="3"/>
  <c r="S347" i="9"/>
  <c r="S227" i="9"/>
  <c r="S518" i="9"/>
  <c r="S395" i="9"/>
  <c r="S152" i="9"/>
  <c r="S125" i="9"/>
  <c r="S575" i="9"/>
  <c r="K62" i="3"/>
  <c r="S155" i="9"/>
  <c r="K56" i="6"/>
  <c r="S584" i="9"/>
  <c r="S524" i="9"/>
  <c r="S422" i="9"/>
  <c r="L32" i="3"/>
  <c r="S512" i="9"/>
  <c r="S158" i="9"/>
  <c r="S62" i="9"/>
  <c r="L26" i="5"/>
  <c r="S539" i="9"/>
  <c r="S530" i="9"/>
  <c r="S356" i="9"/>
  <c r="S32" i="9"/>
  <c r="S17" i="9"/>
  <c r="S536" i="9"/>
  <c r="P38" i="4"/>
  <c r="S593" i="9"/>
  <c r="S545" i="9"/>
  <c r="Q68" i="7"/>
  <c r="M68" i="7"/>
  <c r="P68" i="7"/>
  <c r="L68" i="7"/>
  <c r="G68" i="7"/>
  <c r="Y56" i="13" s="1"/>
  <c r="I68" i="7"/>
  <c r="Y59" i="13" s="1"/>
  <c r="J70" i="7"/>
  <c r="J69" i="7"/>
  <c r="H69" i="7"/>
  <c r="G70" i="7"/>
  <c r="Y58" i="13" s="1"/>
  <c r="O68" i="7"/>
  <c r="K68" i="7"/>
  <c r="N68" i="7"/>
  <c r="I70" i="7"/>
  <c r="Y61" i="13" s="1"/>
  <c r="G69" i="7"/>
  <c r="Y57" i="13" s="1"/>
  <c r="H70" i="7"/>
  <c r="H68" i="7"/>
  <c r="I69" i="7"/>
  <c r="Y60" i="13" s="1"/>
  <c r="J68" i="7"/>
  <c r="K68" i="5"/>
  <c r="Q68" i="5"/>
  <c r="O68" i="5"/>
  <c r="G70" i="5"/>
  <c r="Y32" i="13" s="1"/>
  <c r="G68" i="5"/>
  <c r="Y30" i="13" s="1"/>
  <c r="I68" i="5"/>
  <c r="Y33" i="13" s="1"/>
  <c r="J70" i="5"/>
  <c r="H69" i="5"/>
  <c r="I69" i="5"/>
  <c r="Y34" i="13" s="1"/>
  <c r="L68" i="5"/>
  <c r="M68" i="5"/>
  <c r="P68" i="5"/>
  <c r="N68" i="5"/>
  <c r="I70" i="5"/>
  <c r="Y35" i="13" s="1"/>
  <c r="G69" i="5"/>
  <c r="Y31" i="13" s="1"/>
  <c r="H70" i="5"/>
  <c r="H68" i="5"/>
  <c r="J68" i="5"/>
  <c r="J69" i="5"/>
  <c r="R74" i="3"/>
  <c r="R74" i="7"/>
  <c r="R74" i="5"/>
  <c r="R32" i="7"/>
  <c r="B13" i="1"/>
  <c r="B68" i="4"/>
  <c r="B8" i="5"/>
  <c r="B20" i="5" s="1"/>
  <c r="B32" i="5" s="1"/>
  <c r="B44" i="5" s="1"/>
  <c r="B56" i="5" s="1"/>
  <c r="A15" i="1" l="1"/>
  <c r="R50" i="5"/>
  <c r="R56" i="5"/>
  <c r="R44" i="6"/>
  <c r="R8" i="3"/>
  <c r="R32" i="4"/>
  <c r="R14" i="5"/>
  <c r="R50" i="7"/>
  <c r="R62" i="3"/>
  <c r="R44" i="7"/>
  <c r="R56" i="7"/>
  <c r="R26" i="4"/>
  <c r="R56" i="4"/>
  <c r="R14" i="7"/>
  <c r="R62" i="4"/>
  <c r="R32" i="5"/>
  <c r="R20" i="6"/>
  <c r="R32" i="3"/>
  <c r="R50" i="3"/>
  <c r="R44" i="5"/>
  <c r="R50" i="6"/>
  <c r="R8" i="6"/>
  <c r="R26" i="6"/>
  <c r="R62" i="5"/>
  <c r="R26" i="5"/>
  <c r="R62" i="6"/>
  <c r="R8" i="7"/>
  <c r="R8" i="4"/>
  <c r="R20" i="5"/>
  <c r="R8" i="5"/>
  <c r="R44" i="4"/>
  <c r="R20" i="3"/>
  <c r="R26" i="3"/>
  <c r="R56" i="6"/>
  <c r="R26" i="7"/>
  <c r="R44" i="3"/>
  <c r="R68" i="5"/>
  <c r="R68" i="7"/>
  <c r="R20" i="4"/>
  <c r="R20" i="7"/>
  <c r="B8" i="6"/>
  <c r="B20" i="6" s="1"/>
  <c r="B32" i="6" s="1"/>
  <c r="B44" i="6" s="1"/>
  <c r="B56" i="6" s="1"/>
  <c r="B68" i="5"/>
  <c r="A16" i="1"/>
  <c r="B16" i="1" s="1"/>
  <c r="B15" i="1"/>
  <c r="A17" i="1"/>
  <c r="B17" i="1" l="1"/>
  <c r="A19" i="1"/>
  <c r="A18" i="1"/>
  <c r="B18" i="1" s="1"/>
  <c r="B68" i="6"/>
  <c r="B8" i="7"/>
  <c r="B20" i="7" s="1"/>
  <c r="B32" i="7" s="1"/>
  <c r="B44" i="7" s="1"/>
  <c r="B56" i="7" s="1"/>
  <c r="B68" i="7" s="1"/>
  <c r="B19" i="1" l="1"/>
  <c r="A21" i="1"/>
  <c r="A20" i="1"/>
  <c r="B20" i="1" s="1"/>
  <c r="B21" i="1" l="1"/>
  <c r="A22" i="1"/>
  <c r="B22" i="1" s="1"/>
  <c r="A23" i="1"/>
  <c r="A24" i="1" l="1"/>
  <c r="B24" i="1" s="1"/>
  <c r="B23" i="1"/>
  <c r="A25" i="1"/>
  <c r="B25" i="1" l="1"/>
  <c r="A26" i="1"/>
  <c r="A27" i="1" l="1"/>
  <c r="B27" i="1" s="1"/>
  <c r="A28" i="1"/>
  <c r="B26" i="1"/>
  <c r="B28" i="1" l="1"/>
  <c r="A29" i="1"/>
  <c r="A30" i="1" l="1"/>
  <c r="B30" i="1" s="1"/>
  <c r="A31" i="1"/>
  <c r="B29" i="1"/>
  <c r="B31" i="1" l="1"/>
  <c r="A32" i="1"/>
  <c r="B32" i="1" l="1"/>
  <c r="A33" i="1"/>
  <c r="B33" i="1" s="1"/>
  <c r="A34" i="1"/>
  <c r="A35" i="1" l="1"/>
  <c r="B34" i="1"/>
  <c r="A36" i="1" l="1"/>
  <c r="B36" i="1" s="1"/>
  <c r="A37" i="1"/>
  <c r="B37" i="1" s="1"/>
  <c r="B35" i="1"/>
</calcChain>
</file>

<file path=xl/sharedStrings.xml><?xml version="1.0" encoding="utf-8"?>
<sst xmlns="http://schemas.openxmlformats.org/spreadsheetml/2006/main" count="2941" uniqueCount="1270">
  <si>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</si>
  <si>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星期</t>
    </r>
    <phoneticPr fontId="1" type="noConversion"/>
  </si>
  <si>
    <r>
      <rPr>
        <sz val="12"/>
        <color theme="1"/>
        <rFont val="標楷體"/>
        <family val="4"/>
        <charset val="136"/>
      </rPr>
      <t>早點</t>
    </r>
    <phoneticPr fontId="1" type="noConversion"/>
  </si>
  <si>
    <r>
      <rPr>
        <sz val="12"/>
        <color theme="1"/>
        <rFont val="標楷體"/>
        <family val="4"/>
        <charset val="136"/>
      </rPr>
      <t>午點</t>
    </r>
    <phoneticPr fontId="1" type="noConversion"/>
  </si>
  <si>
    <r>
      <rPr>
        <sz val="12"/>
        <color theme="1"/>
        <rFont val="標楷體"/>
        <family val="4"/>
        <charset val="136"/>
      </rPr>
      <t>一</t>
    </r>
    <phoneticPr fontId="1" type="noConversion"/>
  </si>
  <si>
    <r>
      <rPr>
        <sz val="12"/>
        <color theme="1"/>
        <rFont val="標楷體"/>
        <family val="4"/>
        <charset val="136"/>
      </rPr>
      <t>二</t>
    </r>
    <phoneticPr fontId="1" type="noConversion"/>
  </si>
  <si>
    <r>
      <rPr>
        <sz val="12"/>
        <color theme="1"/>
        <rFont val="標楷體"/>
        <family val="4"/>
        <charset val="136"/>
      </rPr>
      <t>三</t>
    </r>
    <phoneticPr fontId="1" type="noConversion"/>
  </si>
  <si>
    <r>
      <rPr>
        <sz val="12"/>
        <color theme="1"/>
        <rFont val="標楷體"/>
        <family val="4"/>
        <charset val="136"/>
      </rPr>
      <t>四</t>
    </r>
    <phoneticPr fontId="1" type="noConversion"/>
  </si>
  <si>
    <r>
      <rPr>
        <sz val="12"/>
        <color theme="1"/>
        <rFont val="標楷體"/>
        <family val="4"/>
        <charset val="136"/>
      </rPr>
      <t>五</t>
    </r>
    <phoneticPr fontId="1" type="noConversion"/>
  </si>
  <si>
    <t>四</t>
    <phoneticPr fontId="1" type="noConversion"/>
  </si>
  <si>
    <t>五</t>
    <phoneticPr fontId="1" type="noConversion"/>
  </si>
  <si>
    <t>基隆市中和國民小學附設幼兒園</t>
    <phoneticPr fontId="2" type="noConversion"/>
  </si>
  <si>
    <t>白米</t>
    <phoneticPr fontId="1" type="noConversion"/>
  </si>
  <si>
    <t>二砂糖</t>
    <phoneticPr fontId="1" type="noConversion"/>
  </si>
  <si>
    <t>供應商營養師：李宜晉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</si>
  <si>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</si>
  <si>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</si>
  <si>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</si>
  <si>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</si>
  <si>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  <phoneticPr fontId="1" type="noConversion"/>
  </si>
  <si>
    <t>本月用餐天數</t>
    <phoneticPr fontId="2" type="noConversion"/>
  </si>
  <si>
    <t>本週用餐天數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</si>
  <si>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</si>
  <si>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</si>
  <si>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</si>
  <si>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菜                    餚</t>
    <phoneticPr fontId="2" type="noConversion"/>
  </si>
  <si>
    <t>備  註</t>
    <phoneticPr fontId="2" type="noConversion"/>
  </si>
  <si>
    <t>菜    名</t>
    <phoneticPr fontId="2" type="noConversion"/>
  </si>
  <si>
    <t>材料</t>
  </si>
  <si>
    <t>公斤重</t>
    <phoneticPr fontId="2" type="noConversion"/>
  </si>
  <si>
    <t>食物份數</t>
    <phoneticPr fontId="2" type="noConversion"/>
  </si>
  <si>
    <t>全榖根莖類</t>
    <phoneticPr fontId="2" type="noConversion"/>
  </si>
  <si>
    <t>豆魚肉蛋類</t>
    <phoneticPr fontId="2" type="noConversion"/>
  </si>
  <si>
    <t>低脂乳品類</t>
    <phoneticPr fontId="2" type="noConversion"/>
  </si>
  <si>
    <t>蔬菜類</t>
    <phoneticPr fontId="2" type="noConversion"/>
  </si>
  <si>
    <t>水果類</t>
    <phoneticPr fontId="2" type="noConversion"/>
  </si>
  <si>
    <t>果種子類油脂與堅</t>
    <phoneticPr fontId="2" type="noConversion"/>
  </si>
  <si>
    <t>(g)糖</t>
    <phoneticPr fontId="2" type="noConversion"/>
  </si>
  <si>
    <t>熱量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</si>
  <si>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</si>
  <si>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</si>
  <si>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</si>
  <si>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營養標準參照</t>
    <phoneticPr fontId="2" type="noConversion"/>
  </si>
  <si>
    <t>衛生福利部 國民健康署「幼兒一日飲食建議量」</t>
    <phoneticPr fontId="2" type="noConversion"/>
  </si>
  <si>
    <t>幼兒園主任</t>
    <phoneticPr fontId="2" type="noConversion"/>
  </si>
  <si>
    <t>地瓜</t>
    <phoneticPr fontId="1" type="noConversion"/>
  </si>
  <si>
    <t>高麗菜</t>
    <phoneticPr fontId="1" type="noConversion"/>
  </si>
  <si>
    <t>豬肉絲</t>
    <phoneticPr fontId="1" type="noConversion"/>
  </si>
  <si>
    <t>雞蛋</t>
    <phoneticPr fontId="1" type="noConversion"/>
  </si>
  <si>
    <t>二</t>
    <phoneticPr fontId="1" type="noConversion"/>
  </si>
  <si>
    <t>三</t>
    <phoneticPr fontId="1" type="noConversion"/>
  </si>
  <si>
    <t>白蘿蔔</t>
    <phoneticPr fontId="1" type="noConversion"/>
  </si>
  <si>
    <t>生香菇</t>
    <phoneticPr fontId="1" type="noConversion"/>
  </si>
  <si>
    <t>柴魚片</t>
    <phoneticPr fontId="1" type="noConversion"/>
  </si>
  <si>
    <t>清粥小菜</t>
    <phoneticPr fontId="1" type="noConversion"/>
  </si>
  <si>
    <t>蘿蔔排骨湯</t>
    <phoneticPr fontId="1" type="noConversion"/>
  </si>
  <si>
    <t>什錦豆腐羹</t>
    <phoneticPr fontId="1" type="noConversion"/>
  </si>
  <si>
    <t>冰烤地瓜</t>
    <phoneticPr fontId="1" type="noConversion"/>
  </si>
  <si>
    <t>紅豆</t>
    <phoneticPr fontId="1" type="noConversion"/>
  </si>
  <si>
    <t>老薑</t>
    <phoneticPr fontId="1" type="noConversion"/>
  </si>
  <si>
    <t>胡蘿蔔</t>
  </si>
  <si>
    <t>洋蔥</t>
  </si>
  <si>
    <t>洋芋</t>
  </si>
  <si>
    <t>液態奶油</t>
  </si>
  <si>
    <t>1罐</t>
  </si>
  <si>
    <t>白米</t>
  </si>
  <si>
    <t>豬絞肉</t>
  </si>
  <si>
    <t>芹菜</t>
  </si>
  <si>
    <t>雞蛋</t>
  </si>
  <si>
    <t>豆漿</t>
    <phoneticPr fontId="1" type="noConversion"/>
  </si>
  <si>
    <t>紅豆薏仁湯</t>
    <phoneticPr fontId="1" type="noConversion"/>
  </si>
  <si>
    <t>六</t>
    <phoneticPr fontId="1" type="noConversion"/>
  </si>
  <si>
    <t>蘿蔔糕湯</t>
    <phoneticPr fontId="1" type="noConversion"/>
  </si>
  <si>
    <t>麵疙瘩</t>
    <phoneticPr fontId="1" type="noConversion"/>
  </si>
  <si>
    <t>青江菜</t>
    <phoneticPr fontId="1" type="noConversion"/>
  </si>
  <si>
    <t>紅蘿蔔</t>
    <phoneticPr fontId="1" type="noConversion"/>
  </si>
  <si>
    <t>小薏仁</t>
    <phoneticPr fontId="1" type="noConversion"/>
  </si>
  <si>
    <t>小魚乾</t>
    <phoneticPr fontId="1" type="noConversion"/>
  </si>
  <si>
    <t>碎菜脯</t>
    <phoneticPr fontId="1" type="noConversion"/>
  </si>
  <si>
    <t>嫩豆腐</t>
    <phoneticPr fontId="1" type="noConversion"/>
  </si>
  <si>
    <t>金針菇</t>
    <phoneticPr fontId="1" type="noConversion"/>
  </si>
  <si>
    <t>黑木耳</t>
    <phoneticPr fontId="1" type="noConversion"/>
  </si>
  <si>
    <t>大白菜</t>
    <phoneticPr fontId="1" type="noConversion"/>
  </si>
  <si>
    <t>木耳</t>
    <phoneticPr fontId="1" type="noConversion"/>
  </si>
  <si>
    <t>魚板</t>
    <phoneticPr fontId="1" type="noConversion"/>
  </si>
  <si>
    <t>太白粉</t>
    <phoneticPr fontId="1" type="noConversion"/>
  </si>
  <si>
    <t>高麗菜吻魚粥</t>
    <phoneticPr fontId="1" type="noConversion"/>
  </si>
  <si>
    <t>紅麵線</t>
    <phoneticPr fontId="1" type="noConversion"/>
  </si>
  <si>
    <t>香菜</t>
    <phoneticPr fontId="1" type="noConversion"/>
  </si>
  <si>
    <t>肉羹</t>
    <phoneticPr fontId="1" type="noConversion"/>
  </si>
  <si>
    <t>蒜泥</t>
    <phoneticPr fontId="1" type="noConversion"/>
  </si>
  <si>
    <t>珊瑚麵疙瘩</t>
    <phoneticPr fontId="1" type="noConversion"/>
  </si>
  <si>
    <t>冬瓜茶磚</t>
    <phoneticPr fontId="1" type="noConversion"/>
  </si>
  <si>
    <t>.</t>
    <phoneticPr fontId="1" type="noConversion"/>
  </si>
  <si>
    <t>銅鑼燒</t>
    <phoneticPr fontId="1" type="noConversion"/>
  </si>
  <si>
    <t>肉鬆</t>
    <phoneticPr fontId="1" type="noConversion"/>
  </si>
  <si>
    <t>水果拼盤</t>
    <phoneticPr fontId="1" type="noConversion"/>
  </si>
  <si>
    <t>客家粿仔條</t>
    <phoneticPr fontId="1" type="noConversion"/>
  </si>
  <si>
    <t>地瓜甜湯</t>
    <phoneticPr fontId="1" type="noConversion"/>
  </si>
  <si>
    <t>味噌</t>
    <phoneticPr fontId="1" type="noConversion"/>
  </si>
  <si>
    <t>板豆腐</t>
    <phoneticPr fontId="1" type="noConversion"/>
  </si>
  <si>
    <t>冷凍玉米粒</t>
    <phoneticPr fontId="1" type="noConversion"/>
  </si>
  <si>
    <t>黑糖</t>
    <phoneticPr fontId="1" type="noConversion"/>
  </si>
  <si>
    <t>六</t>
    <phoneticPr fontId="2" type="noConversion"/>
  </si>
  <si>
    <t>棒棒腿丁</t>
    <phoneticPr fontId="1" type="noConversion"/>
  </si>
  <si>
    <t>小排丁</t>
    <phoneticPr fontId="1" type="noConversion"/>
  </si>
  <si>
    <t>3小包</t>
    <phoneticPr fontId="1" type="noConversion"/>
  </si>
  <si>
    <t>水餃</t>
  </si>
  <si>
    <t>木耳</t>
  </si>
  <si>
    <t>板豆腐</t>
  </si>
  <si>
    <t>通心粉</t>
  </si>
  <si>
    <t>杏鮑菇</t>
  </si>
  <si>
    <t>義大利麵醬</t>
  </si>
  <si>
    <t>小白菜</t>
  </si>
  <si>
    <t>豬肉絲</t>
  </si>
  <si>
    <t>韭菜</t>
  </si>
  <si>
    <t>豆芽菜</t>
  </si>
  <si>
    <t>乾香菇絲</t>
  </si>
  <si>
    <t>珍珠</t>
  </si>
  <si>
    <t>鮮奶</t>
  </si>
  <si>
    <t>蘿蔔糕</t>
  </si>
  <si>
    <t>紅蘿蔔</t>
  </si>
  <si>
    <t>蝦米</t>
  </si>
  <si>
    <t>紅棗</t>
    <phoneticPr fontId="1" type="noConversion"/>
  </si>
  <si>
    <t>枸杞</t>
    <phoneticPr fontId="1" type="noConversion"/>
  </si>
  <si>
    <t>1罐</t>
    <phoneticPr fontId="1" type="noConversion"/>
  </si>
  <si>
    <t>冬粉</t>
  </si>
  <si>
    <t>高麗菜</t>
  </si>
  <si>
    <t>黑糖小饅頭</t>
    <phoneticPr fontId="1" type="noConversion"/>
  </si>
  <si>
    <t>鍋貼</t>
    <phoneticPr fontId="1" type="noConversion"/>
  </si>
  <si>
    <t>2塊</t>
    <phoneticPr fontId="1" type="noConversion"/>
  </si>
  <si>
    <t>3罐</t>
    <phoneticPr fontId="1" type="noConversion"/>
  </si>
  <si>
    <t>一</t>
    <phoneticPr fontId="1" type="noConversion"/>
  </si>
  <si>
    <t>日</t>
    <phoneticPr fontId="1" type="noConversion"/>
  </si>
  <si>
    <t>菜名</t>
    <phoneticPr fontId="1" type="noConversion"/>
  </si>
  <si>
    <t>公斤重</t>
    <phoneticPr fontId="1" type="noConversion"/>
  </si>
  <si>
    <t>材料</t>
    <phoneticPr fontId="1" type="noConversion"/>
  </si>
  <si>
    <t>南瓜</t>
    <phoneticPr fontId="1" type="noConversion"/>
  </si>
  <si>
    <t>豬絞肉</t>
    <phoneticPr fontId="1" type="noConversion"/>
  </si>
  <si>
    <t>小兔包</t>
    <phoneticPr fontId="1" type="noConversion"/>
  </si>
  <si>
    <t>鮮奶</t>
    <phoneticPr fontId="1" type="noConversion"/>
  </si>
  <si>
    <t>紅棗枸杞茶</t>
    <phoneticPr fontId="1" type="noConversion"/>
  </si>
  <si>
    <t>馬鈴薯濃湯</t>
    <phoneticPr fontId="1" type="noConversion"/>
  </si>
  <si>
    <t>魚丸細粉</t>
    <phoneticPr fontId="1" type="noConversion"/>
  </si>
  <si>
    <t>黑糖小饅頭</t>
  </si>
  <si>
    <t>豆漿</t>
  </si>
  <si>
    <t>起司蛋餅</t>
    <phoneticPr fontId="1" type="noConversion"/>
  </si>
  <si>
    <t>蛋餅皮</t>
    <phoneticPr fontId="1" type="noConversion"/>
  </si>
  <si>
    <t>起司</t>
    <phoneticPr fontId="1" type="noConversion"/>
  </si>
  <si>
    <t>中華豆花</t>
    <phoneticPr fontId="1" type="noConversion"/>
  </si>
  <si>
    <t>麵線羹</t>
    <phoneticPr fontId="1" type="noConversion"/>
  </si>
  <si>
    <t>關東煮</t>
    <phoneticPr fontId="1" type="noConversion"/>
  </si>
  <si>
    <t>白蘿蔔</t>
  </si>
  <si>
    <t>玉米粒罐頭</t>
    <phoneticPr fontId="1" type="noConversion"/>
  </si>
  <si>
    <t>4罐</t>
    <phoneticPr fontId="1" type="noConversion"/>
  </si>
  <si>
    <t>玉米絞肉粥</t>
    <phoneticPr fontId="1" type="noConversion"/>
  </si>
  <si>
    <t>仙草蜜</t>
    <phoneticPr fontId="1" type="noConversion"/>
  </si>
  <si>
    <t>二砂糖</t>
  </si>
  <si>
    <t>茄汁蔬菜湯</t>
    <phoneticPr fontId="1" type="noConversion"/>
  </si>
  <si>
    <t>番茄糊</t>
    <phoneticPr fontId="1" type="noConversion"/>
  </si>
  <si>
    <t>胡蘿蔔</t>
    <phoneticPr fontId="1" type="noConversion"/>
  </si>
  <si>
    <t>洋蔥</t>
    <phoneticPr fontId="1" type="noConversion"/>
  </si>
  <si>
    <t>肉片</t>
    <phoneticPr fontId="1" type="noConversion"/>
  </si>
  <si>
    <t>馬鈴薯</t>
    <phoneticPr fontId="1" type="noConversion"/>
  </si>
  <si>
    <t>細烏龍麵</t>
    <phoneticPr fontId="1" type="noConversion"/>
  </si>
  <si>
    <t>小白菜</t>
    <phoneticPr fontId="1" type="noConversion"/>
  </si>
  <si>
    <t>蛋餅</t>
    <phoneticPr fontId="1" type="noConversion"/>
  </si>
  <si>
    <t>莧菜雞蛋粥</t>
    <phoneticPr fontId="1" type="noConversion"/>
  </si>
  <si>
    <t>莧菜</t>
    <phoneticPr fontId="1" type="noConversion"/>
  </si>
  <si>
    <t>芹菜</t>
    <phoneticPr fontId="1" type="noConversion"/>
  </si>
  <si>
    <t>生香菇</t>
  </si>
  <si>
    <t>貢丸</t>
    <phoneticPr fontId="1" type="noConversion"/>
  </si>
  <si>
    <t>鮮奶饅頭</t>
    <phoneticPr fontId="1" type="noConversion"/>
  </si>
  <si>
    <t>起司片</t>
    <phoneticPr fontId="1" type="noConversion"/>
  </si>
  <si>
    <t>玉米濃湯</t>
    <phoneticPr fontId="1" type="noConversion"/>
  </si>
  <si>
    <t>火腿丁</t>
    <phoneticPr fontId="1" type="noConversion"/>
  </si>
  <si>
    <t>紅燒豬肉麵</t>
    <phoneticPr fontId="1" type="noConversion"/>
  </si>
  <si>
    <t>豬肉塊</t>
    <phoneticPr fontId="1" type="noConversion"/>
  </si>
  <si>
    <t>10顆</t>
    <phoneticPr fontId="1" type="noConversion"/>
  </si>
  <si>
    <t>皮蛋</t>
    <phoneticPr fontId="1" type="noConversion"/>
  </si>
  <si>
    <t>芝麻包</t>
    <phoneticPr fontId="1" type="noConversion"/>
  </si>
  <si>
    <t>海結黃芽排骨湯</t>
    <phoneticPr fontId="1" type="noConversion"/>
  </si>
  <si>
    <t>海帶結</t>
    <phoneticPr fontId="1" type="noConversion"/>
  </si>
  <si>
    <t>薑絲</t>
    <phoneticPr fontId="1" type="noConversion"/>
  </si>
  <si>
    <t>黃豆芽</t>
    <phoneticPr fontId="1" type="noConversion"/>
  </si>
  <si>
    <t>義大利麵</t>
    <phoneticPr fontId="1" type="noConversion"/>
  </si>
  <si>
    <t>義大利麵</t>
  </si>
  <si>
    <t>大滷湯</t>
    <phoneticPr fontId="1" type="noConversion"/>
  </si>
  <si>
    <t>豬肉片</t>
    <phoneticPr fontId="1" type="noConversion"/>
  </si>
  <si>
    <t>包心白菜</t>
    <phoneticPr fontId="1" type="noConversion"/>
  </si>
  <si>
    <t>豬肉餡餅</t>
    <phoneticPr fontId="1" type="noConversion"/>
  </si>
  <si>
    <t>肉絲炒麵</t>
    <phoneticPr fontId="1" type="noConversion"/>
  </si>
  <si>
    <t>黃油麵</t>
    <phoneticPr fontId="1" type="noConversion"/>
  </si>
  <si>
    <t>鮪魚玉米粥</t>
    <phoneticPr fontId="1" type="noConversion"/>
  </si>
  <si>
    <t>玉米粒</t>
    <phoneticPr fontId="1" type="noConversion"/>
  </si>
  <si>
    <t>鮪魚罐頭</t>
    <phoneticPr fontId="1" type="noConversion"/>
  </si>
  <si>
    <t>小湯圓</t>
    <phoneticPr fontId="1" type="noConversion"/>
  </si>
  <si>
    <t>蝦香白菜粉絲煲</t>
    <phoneticPr fontId="1" type="noConversion"/>
  </si>
  <si>
    <t>蝦皮</t>
    <phoneticPr fontId="1" type="noConversion"/>
  </si>
  <si>
    <t>乾香菇絲</t>
    <phoneticPr fontId="1" type="noConversion"/>
  </si>
  <si>
    <t>冬粉</t>
    <phoneticPr fontId="1" type="noConversion"/>
  </si>
  <si>
    <t>鮮菇雞湯</t>
    <phoneticPr fontId="1" type="noConversion"/>
  </si>
  <si>
    <t>美白菇</t>
    <phoneticPr fontId="1" type="noConversion"/>
  </si>
  <si>
    <t>1包</t>
    <phoneticPr fontId="1" type="noConversion"/>
  </si>
  <si>
    <t>雞腿仁丁</t>
    <phoneticPr fontId="1" type="noConversion"/>
  </si>
  <si>
    <t>鴻喜菇</t>
    <phoneticPr fontId="1" type="noConversion"/>
  </si>
  <si>
    <t>2包</t>
    <phoneticPr fontId="1" type="noConversion"/>
  </si>
  <si>
    <t>薑片</t>
    <phoneticPr fontId="1" type="noConversion"/>
  </si>
  <si>
    <t>麵粉</t>
    <phoneticPr fontId="1" type="noConversion"/>
  </si>
  <si>
    <t>茄汁義大利麵</t>
    <phoneticPr fontId="1" type="noConversion"/>
  </si>
  <si>
    <t>什錦鹹粥</t>
    <phoneticPr fontId="2" type="noConversion"/>
  </si>
  <si>
    <t>玉米粒</t>
    <phoneticPr fontId="2" type="noConversion"/>
  </si>
  <si>
    <t>豬肉絲</t>
    <phoneticPr fontId="2" type="noConversion"/>
  </si>
  <si>
    <t>高麗菜</t>
    <phoneticPr fontId="2" type="noConversion"/>
  </si>
  <si>
    <t>白米</t>
    <phoneticPr fontId="2" type="noConversion"/>
  </si>
  <si>
    <t>紅蘿蔔</t>
    <phoneticPr fontId="2" type="noConversion"/>
  </si>
  <si>
    <t>綜合滷味</t>
    <phoneticPr fontId="1" type="noConversion"/>
  </si>
  <si>
    <t>米血糕</t>
    <phoneticPr fontId="1" type="noConversion"/>
  </si>
  <si>
    <t>大黑豆干</t>
    <phoneticPr fontId="1" type="noConversion"/>
  </si>
  <si>
    <t>山藥</t>
    <phoneticPr fontId="1" type="noConversion"/>
  </si>
  <si>
    <t>總量</t>
    <phoneticPr fontId="1" type="noConversion"/>
  </si>
  <si>
    <t>水果</t>
  </si>
  <si>
    <t>熱量</t>
    <phoneticPr fontId="1" type="noConversion"/>
  </si>
  <si>
    <t>全榖根莖類</t>
  </si>
  <si>
    <t>豆魚肉蛋類</t>
  </si>
  <si>
    <t>低脂乳品類</t>
  </si>
  <si>
    <t>蔬菜類</t>
  </si>
  <si>
    <t>水果類</t>
  </si>
  <si>
    <t>果種子類油脂與堅</t>
  </si>
  <si>
    <t>(g)糖</t>
  </si>
  <si>
    <t>米苔目湯</t>
    <phoneticPr fontId="1" type="noConversion"/>
  </si>
  <si>
    <t>米苔目</t>
    <phoneticPr fontId="1" type="noConversion"/>
  </si>
  <si>
    <t>米苔目</t>
  </si>
  <si>
    <t>香菇蘿蔔雞湯</t>
    <phoneticPr fontId="2" type="noConversion"/>
  </si>
  <si>
    <t>雞骨腿丁</t>
    <phoneticPr fontId="2" type="noConversion"/>
  </si>
  <si>
    <t>薑片</t>
    <phoneticPr fontId="2" type="noConversion"/>
  </si>
  <si>
    <t>生香菇</t>
    <phoneticPr fontId="2" type="noConversion"/>
  </si>
  <si>
    <t>白蘿蔔</t>
    <phoneticPr fontId="2" type="noConversion"/>
  </si>
  <si>
    <t>1小包</t>
    <phoneticPr fontId="1" type="noConversion"/>
  </si>
  <si>
    <t>小白菜</t>
    <phoneticPr fontId="2" type="noConversion"/>
  </si>
  <si>
    <t>綠豆薏仁湯</t>
    <phoneticPr fontId="2" type="noConversion"/>
  </si>
  <si>
    <t>綠豆</t>
    <phoneticPr fontId="1" type="noConversion"/>
  </si>
  <si>
    <t>番茄燴麵</t>
    <phoneticPr fontId="1" type="noConversion"/>
  </si>
  <si>
    <t>番茄</t>
    <phoneticPr fontId="1" type="noConversion"/>
  </si>
  <si>
    <t>貢丸米粉湯</t>
    <phoneticPr fontId="1" type="noConversion"/>
  </si>
  <si>
    <t>中粗米粉</t>
    <phoneticPr fontId="1" type="noConversion"/>
  </si>
  <si>
    <t>冬瓜磚</t>
    <phoneticPr fontId="1" type="noConversion"/>
  </si>
  <si>
    <t>愛玉</t>
    <phoneticPr fontId="1" type="noConversion"/>
  </si>
  <si>
    <t>單位換算成公斤</t>
    <phoneticPr fontId="1" type="noConversion"/>
  </si>
  <si>
    <t>細烏龍麵</t>
  </si>
  <si>
    <t>魚板</t>
  </si>
  <si>
    <t>通心粉</t>
    <phoneticPr fontId="1" type="noConversion"/>
  </si>
  <si>
    <t>義大利麵醬</t>
    <phoneticPr fontId="1" type="noConversion"/>
  </si>
  <si>
    <t>水餃</t>
    <phoneticPr fontId="1" type="noConversion"/>
  </si>
  <si>
    <t>蛋餅皮</t>
  </si>
  <si>
    <t>鮮奶饅頭</t>
  </si>
  <si>
    <t>起司片</t>
  </si>
  <si>
    <t>小兔包</t>
  </si>
  <si>
    <t>玉米粒</t>
  </si>
  <si>
    <t>玉米粒(小)</t>
    <phoneticPr fontId="1" type="noConversion"/>
  </si>
  <si>
    <t>玉米醬(小)</t>
    <phoneticPr fontId="1" type="noConversion"/>
  </si>
  <si>
    <t>玉米醬</t>
  </si>
  <si>
    <t>玉米醬</t>
    <phoneticPr fontId="1" type="noConversion"/>
  </si>
  <si>
    <t>味霖</t>
    <phoneticPr fontId="1" type="noConversion"/>
  </si>
  <si>
    <t>味霖(小)</t>
    <phoneticPr fontId="1" type="noConversion"/>
  </si>
  <si>
    <t>皮蛋</t>
  </si>
  <si>
    <t>玉米粒罐頭</t>
  </si>
  <si>
    <t>鮪魚罐頭</t>
  </si>
  <si>
    <t>液態奶油</t>
    <phoneticPr fontId="1" type="noConversion"/>
  </si>
  <si>
    <t>鍋貼</t>
  </si>
  <si>
    <t>豬肉餡餅</t>
  </si>
  <si>
    <t>公斤數(公升數)/人</t>
    <phoneticPr fontId="1" type="noConversion"/>
  </si>
  <si>
    <t>蔬菜濃湯</t>
    <phoneticPr fontId="2" type="noConversion"/>
  </si>
  <si>
    <t>洋芋</t>
    <phoneticPr fontId="1" type="noConversion"/>
  </si>
  <si>
    <t>肉絲</t>
    <phoneticPr fontId="1" type="noConversion"/>
  </si>
  <si>
    <t>結頭菜雞湯</t>
    <phoneticPr fontId="1" type="noConversion"/>
  </si>
  <si>
    <t>嫩薑絲</t>
    <phoneticPr fontId="1" type="noConversion"/>
  </si>
  <si>
    <t>香菇魚片粥</t>
    <phoneticPr fontId="2" type="noConversion"/>
  </si>
  <si>
    <t>魚片</t>
    <phoneticPr fontId="2" type="noConversion"/>
  </si>
  <si>
    <t>大白菜</t>
    <phoneticPr fontId="2" type="noConversion"/>
  </si>
  <si>
    <t>綜合圓綠豆湯</t>
    <phoneticPr fontId="2" type="noConversion"/>
  </si>
  <si>
    <t>地瓜圓</t>
    <phoneticPr fontId="2" type="noConversion"/>
  </si>
  <si>
    <t>芋圓</t>
    <phoneticPr fontId="2" type="noConversion"/>
  </si>
  <si>
    <t>什錦麵</t>
    <phoneticPr fontId="2" type="noConversion"/>
  </si>
  <si>
    <t>細烏龍麵</t>
    <phoneticPr fontId="2" type="noConversion"/>
  </si>
  <si>
    <t>油蔥酥</t>
    <phoneticPr fontId="1" type="noConversion"/>
  </si>
  <si>
    <t>餛飩</t>
  </si>
  <si>
    <t>餛飩</t>
    <phoneticPr fontId="1" type="noConversion"/>
  </si>
  <si>
    <t>玉米脆片奶酪</t>
  </si>
  <si>
    <t>紅茶包</t>
    <phoneticPr fontId="1" type="noConversion"/>
  </si>
  <si>
    <t>小湯圓</t>
  </si>
  <si>
    <t>冬菜</t>
    <phoneticPr fontId="1" type="noConversion"/>
  </si>
  <si>
    <t>美白菇</t>
  </si>
  <si>
    <t>鴻喜菇</t>
  </si>
  <si>
    <t>麻油</t>
    <phoneticPr fontId="1" type="noConversion"/>
  </si>
  <si>
    <t>1瓶</t>
    <phoneticPr fontId="1" type="noConversion"/>
  </si>
  <si>
    <t>黑糖饅頭</t>
    <phoneticPr fontId="1" type="noConversion"/>
  </si>
  <si>
    <t>銅鑼燒</t>
  </si>
  <si>
    <t>芝麻包</t>
  </si>
  <si>
    <t>仙草</t>
    <phoneticPr fontId="1" type="noConversion"/>
  </si>
  <si>
    <t>仙草凍</t>
    <phoneticPr fontId="1" type="noConversion"/>
  </si>
  <si>
    <t>珍珠</t>
    <phoneticPr fontId="1" type="noConversion"/>
  </si>
  <si>
    <t>粉圓</t>
  </si>
  <si>
    <t>粉圓</t>
    <phoneticPr fontId="1" type="noConversion"/>
  </si>
  <si>
    <t>黑糖</t>
  </si>
  <si>
    <t>地瓜圓</t>
  </si>
  <si>
    <t>地瓜圓</t>
    <phoneticPr fontId="1" type="noConversion"/>
  </si>
  <si>
    <t>芋圓</t>
  </si>
  <si>
    <t>芋圓</t>
    <phoneticPr fontId="1" type="noConversion"/>
  </si>
  <si>
    <t>綠豆</t>
  </si>
  <si>
    <t>紅豆</t>
  </si>
  <si>
    <t>小薏仁</t>
  </si>
  <si>
    <t>老薑</t>
  </si>
  <si>
    <t>杏鮑菇</t>
    <phoneticPr fontId="1" type="noConversion"/>
  </si>
  <si>
    <t>粿仔條</t>
    <phoneticPr fontId="1" type="noConversion"/>
  </si>
  <si>
    <t>韭菜</t>
    <phoneticPr fontId="1" type="noConversion"/>
  </si>
  <si>
    <t>豆芽菜</t>
    <phoneticPr fontId="1" type="noConversion"/>
  </si>
  <si>
    <t>麵疙瘩</t>
  </si>
  <si>
    <t>青江菜</t>
  </si>
  <si>
    <t>紅麵線</t>
  </si>
  <si>
    <t>香菜</t>
  </si>
  <si>
    <t>肉羹</t>
  </si>
  <si>
    <t>蒜泥</t>
  </si>
  <si>
    <t>魚丸</t>
    <phoneticPr fontId="1" type="noConversion"/>
  </si>
  <si>
    <t>牛肉麵生條麵</t>
  </si>
  <si>
    <t>貢丸</t>
  </si>
  <si>
    <t>蝦米</t>
    <phoneticPr fontId="1" type="noConversion"/>
  </si>
  <si>
    <t>雞骨腿丁</t>
    <phoneticPr fontId="1" type="noConversion"/>
  </si>
  <si>
    <t>薑片</t>
  </si>
  <si>
    <t>棒棒腿丁</t>
  </si>
  <si>
    <t>嫩薑絲</t>
  </si>
  <si>
    <t>薑絲</t>
  </si>
  <si>
    <t>肉塊</t>
    <phoneticPr fontId="1" type="noConversion"/>
  </si>
  <si>
    <t>馬鈴薯</t>
  </si>
  <si>
    <t>山藥</t>
  </si>
  <si>
    <t>小排丁</t>
  </si>
  <si>
    <t>海帶結</t>
  </si>
  <si>
    <t>黃豆芽</t>
  </si>
  <si>
    <t>吻仔魚</t>
    <phoneticPr fontId="1" type="noConversion"/>
  </si>
  <si>
    <t>火腿丁</t>
  </si>
  <si>
    <t>低筋麵粉</t>
    <phoneticPr fontId="1" type="noConversion"/>
  </si>
  <si>
    <t>金針菇</t>
  </si>
  <si>
    <t>豆腐</t>
    <phoneticPr fontId="1" type="noConversion"/>
  </si>
  <si>
    <t>黑輪條</t>
    <phoneticPr fontId="1" type="noConversion"/>
  </si>
  <si>
    <t>米血糕</t>
  </si>
  <si>
    <t>大黑豆干</t>
  </si>
  <si>
    <t>莧菜</t>
  </si>
  <si>
    <t>南瓜</t>
  </si>
  <si>
    <t>小魚乾</t>
  </si>
  <si>
    <t>肉包</t>
    <phoneticPr fontId="1" type="noConversion"/>
  </si>
  <si>
    <t>蒲瓜鹹粥</t>
    <phoneticPr fontId="2" type="noConversion"/>
  </si>
  <si>
    <t>蒲瓜</t>
    <phoneticPr fontId="2" type="noConversion"/>
  </si>
  <si>
    <t>蝦皮</t>
    <phoneticPr fontId="2" type="noConversion"/>
  </si>
  <si>
    <t>雞蛋</t>
    <phoneticPr fontId="2" type="noConversion"/>
  </si>
  <si>
    <t>豬絞肉</t>
    <phoneticPr fontId="2" type="noConversion"/>
  </si>
  <si>
    <t>蒲瓜</t>
  </si>
  <si>
    <t>蒲瓜</t>
    <phoneticPr fontId="1" type="noConversion"/>
  </si>
  <si>
    <t>虱目魚丸</t>
    <phoneticPr fontId="1" type="noConversion"/>
  </si>
  <si>
    <t>虱目魚丸</t>
  </si>
  <si>
    <t>小餐包</t>
    <phoneticPr fontId="1" type="noConversion"/>
  </si>
  <si>
    <t>小餐包</t>
  </si>
  <si>
    <t>大黃瓜</t>
    <phoneticPr fontId="1" type="noConversion"/>
  </si>
  <si>
    <t>大黃瓜</t>
  </si>
  <si>
    <t>香菇滑雞粥</t>
    <phoneticPr fontId="1" type="noConversion"/>
  </si>
  <si>
    <t>海帶芽</t>
  </si>
  <si>
    <t>筍籤</t>
    <phoneticPr fontId="1" type="noConversion"/>
  </si>
  <si>
    <t>大白菜</t>
  </si>
  <si>
    <t>筍籤</t>
  </si>
  <si>
    <t>粗烏龍麵</t>
    <phoneticPr fontId="1" type="noConversion"/>
  </si>
  <si>
    <t>竹輪</t>
    <phoneticPr fontId="1" type="noConversion"/>
  </si>
  <si>
    <t>竹輪</t>
  </si>
  <si>
    <t>紫米</t>
    <phoneticPr fontId="1" type="noConversion"/>
  </si>
  <si>
    <t>紫米</t>
  </si>
  <si>
    <t>滷蛋</t>
    <phoneticPr fontId="2" type="noConversion"/>
  </si>
  <si>
    <t>滷包</t>
    <phoneticPr fontId="2" type="noConversion"/>
  </si>
  <si>
    <t>1小包</t>
    <phoneticPr fontId="2" type="noConversion"/>
  </si>
  <si>
    <t>黑豆茶包</t>
    <phoneticPr fontId="1" type="noConversion"/>
  </si>
  <si>
    <t>雞絲麵</t>
    <phoneticPr fontId="2" type="noConversion"/>
  </si>
  <si>
    <t>黑木耳</t>
    <phoneticPr fontId="2" type="noConversion"/>
  </si>
  <si>
    <t>貢丸</t>
    <phoneticPr fontId="2" type="noConversion"/>
  </si>
  <si>
    <t>雞絲麵</t>
  </si>
  <si>
    <t>雞絲麵</t>
    <phoneticPr fontId="1" type="noConversion"/>
  </si>
  <si>
    <t>炸醬麵</t>
    <phoneticPr fontId="2" type="noConversion"/>
  </si>
  <si>
    <t>甜麵醬</t>
    <phoneticPr fontId="2" type="noConversion"/>
  </si>
  <si>
    <t>豆瓣醬(不辣的)</t>
    <phoneticPr fontId="2" type="noConversion"/>
  </si>
  <si>
    <t>豆干丁</t>
    <phoneticPr fontId="2" type="noConversion"/>
  </si>
  <si>
    <t>小黃瓜</t>
    <phoneticPr fontId="2" type="noConversion"/>
  </si>
  <si>
    <t>豆瓣醬</t>
    <phoneticPr fontId="1" type="noConversion"/>
  </si>
  <si>
    <t>豆瓣醬(不辣的)</t>
    <phoneticPr fontId="1" type="noConversion"/>
  </si>
  <si>
    <t>甜麵醬</t>
    <phoneticPr fontId="1" type="noConversion"/>
  </si>
  <si>
    <t>豆干丁</t>
  </si>
  <si>
    <t>豆干丁</t>
    <phoneticPr fontId="1" type="noConversion"/>
  </si>
  <si>
    <t>冷凍青花菜</t>
    <phoneticPr fontId="1" type="noConversion"/>
  </si>
  <si>
    <t>冷凍青花菜</t>
  </si>
  <si>
    <t>魚片</t>
    <phoneticPr fontId="1" type="noConversion"/>
  </si>
  <si>
    <t>燒賣</t>
    <phoneticPr fontId="1" type="noConversion"/>
  </si>
  <si>
    <t>燒賣</t>
  </si>
  <si>
    <t>二砂糖</t>
    <phoneticPr fontId="2" type="noConversion"/>
  </si>
  <si>
    <t>愛玉凍</t>
    <phoneticPr fontId="1" type="noConversion"/>
  </si>
  <si>
    <t>檸檬</t>
    <phoneticPr fontId="1" type="noConversion"/>
  </si>
  <si>
    <t>杯子蛋糕</t>
    <phoneticPr fontId="1" type="noConversion"/>
  </si>
  <si>
    <t>2L*6 1L*1</t>
  </si>
  <si>
    <t>豆花</t>
    <phoneticPr fontId="1" type="noConversion"/>
  </si>
  <si>
    <t>豆花</t>
  </si>
  <si>
    <t>拉麵</t>
    <phoneticPr fontId="1" type="noConversion"/>
  </si>
  <si>
    <t>玉米罐頭</t>
    <phoneticPr fontId="1" type="noConversion"/>
  </si>
  <si>
    <t>拉麵</t>
  </si>
  <si>
    <t>虱目魚肚</t>
    <phoneticPr fontId="1" type="noConversion"/>
  </si>
  <si>
    <t>嫩薑片</t>
    <phoneticPr fontId="1" type="noConversion"/>
  </si>
  <si>
    <t>蔥抓餅</t>
    <phoneticPr fontId="1" type="noConversion"/>
  </si>
  <si>
    <t>蔥抓餅</t>
  </si>
  <si>
    <t>脆圓</t>
    <phoneticPr fontId="1" type="noConversion"/>
  </si>
  <si>
    <t>地瓜</t>
  </si>
  <si>
    <t>脆圓</t>
  </si>
  <si>
    <t>福州丸</t>
    <phoneticPr fontId="1" type="noConversion"/>
  </si>
  <si>
    <t>福州丸</t>
  </si>
  <si>
    <t>麥茶包</t>
    <phoneticPr fontId="1" type="noConversion"/>
  </si>
  <si>
    <t>海帶芽</t>
    <phoneticPr fontId="1" type="noConversion"/>
  </si>
  <si>
    <t>咖哩塊</t>
    <phoneticPr fontId="1" type="noConversion"/>
  </si>
  <si>
    <t>1盒</t>
    <phoneticPr fontId="1" type="noConversion"/>
  </si>
  <si>
    <t>黃油麵</t>
  </si>
  <si>
    <t>薑絲魚片粥</t>
    <phoneticPr fontId="1" type="noConversion"/>
  </si>
  <si>
    <t>青蔥</t>
    <phoneticPr fontId="1" type="noConversion"/>
  </si>
  <si>
    <t>玉米蛋餅</t>
    <phoneticPr fontId="1" type="noConversion"/>
  </si>
  <si>
    <t>沙其馬</t>
    <phoneticPr fontId="1" type="noConversion"/>
  </si>
  <si>
    <t>沙其馬</t>
  </si>
  <si>
    <t>通心麵</t>
    <phoneticPr fontId="1" type="noConversion"/>
  </si>
  <si>
    <t>冷凍花椰菜</t>
    <phoneticPr fontId="1" type="noConversion"/>
  </si>
  <si>
    <t>培根</t>
    <phoneticPr fontId="1" type="noConversion"/>
  </si>
  <si>
    <t>雞絞肉</t>
    <phoneticPr fontId="1" type="noConversion"/>
  </si>
  <si>
    <t>蜂蜜</t>
    <phoneticPr fontId="1" type="noConversion"/>
  </si>
  <si>
    <t>1小瓶</t>
    <phoneticPr fontId="1" type="noConversion"/>
  </si>
  <si>
    <t>蜂蜜</t>
  </si>
  <si>
    <t>麥片</t>
  </si>
  <si>
    <t>花枝羹</t>
    <phoneticPr fontId="1" type="noConversion"/>
  </si>
  <si>
    <t>油麵</t>
    <phoneticPr fontId="1" type="noConversion"/>
  </si>
  <si>
    <t>沙茶醬</t>
    <phoneticPr fontId="1" type="noConversion"/>
  </si>
  <si>
    <t>蒜酥</t>
  </si>
  <si>
    <t>油麵</t>
  </si>
  <si>
    <t>菠菜</t>
    <phoneticPr fontId="1" type="noConversion"/>
  </si>
  <si>
    <t>菠菜</t>
  </si>
  <si>
    <t>蘑菇醬</t>
  </si>
  <si>
    <t>蘑菇醬</t>
    <phoneticPr fontId="1" type="noConversion"/>
  </si>
  <si>
    <t>黑麻油</t>
    <phoneticPr fontId="1" type="noConversion"/>
  </si>
  <si>
    <t>老薑片</t>
    <phoneticPr fontId="1" type="noConversion"/>
  </si>
  <si>
    <t>老薑片</t>
  </si>
  <si>
    <t>養生茶包</t>
    <phoneticPr fontId="1" type="noConversion"/>
  </si>
  <si>
    <t>無糖花生粉</t>
    <phoneticPr fontId="1" type="noConversion"/>
  </si>
  <si>
    <t>海山醬</t>
    <phoneticPr fontId="1" type="noConversion"/>
  </si>
  <si>
    <t>仙草汁</t>
    <phoneticPr fontId="1" type="noConversion"/>
  </si>
  <si>
    <t>仙草汁</t>
  </si>
  <si>
    <t>酸白菜豬肉湯</t>
    <phoneticPr fontId="1" type="noConversion"/>
  </si>
  <si>
    <t>酸白菜</t>
    <phoneticPr fontId="1" type="noConversion"/>
  </si>
  <si>
    <t>香煎蘿蔔糕</t>
    <phoneticPr fontId="1" type="noConversion"/>
  </si>
  <si>
    <t>茶葉蛋滷包</t>
    <phoneticPr fontId="1" type="noConversion"/>
  </si>
  <si>
    <t>茶葉蛋+米漿</t>
  </si>
  <si>
    <t>茶葉蛋滷包</t>
  </si>
  <si>
    <t>米漿</t>
  </si>
  <si>
    <t>桂圓</t>
    <phoneticPr fontId="1" type="noConversion"/>
  </si>
  <si>
    <t>鹹蛋</t>
  </si>
  <si>
    <t>鹹蛋</t>
    <phoneticPr fontId="1" type="noConversion"/>
  </si>
  <si>
    <t>乾金針</t>
  </si>
  <si>
    <t>乾金針</t>
    <phoneticPr fontId="1" type="noConversion"/>
  </si>
  <si>
    <t>玉米披薩餡餅</t>
    <phoneticPr fontId="1" type="noConversion"/>
  </si>
  <si>
    <t>大番茄</t>
    <phoneticPr fontId="1" type="noConversion"/>
  </si>
  <si>
    <t>食材名稱</t>
  </si>
  <si>
    <t>貨品編號</t>
  </si>
  <si>
    <t>貨品名稱</t>
  </si>
  <si>
    <t>單位</t>
  </si>
  <si>
    <t>成本(本)/單價</t>
  </si>
  <si>
    <t>規格</t>
  </si>
  <si>
    <t>每份克數</t>
  </si>
  <si>
    <t>每公斤份數</t>
  </si>
  <si>
    <t>蘿蔔糕(盒)</t>
  </si>
  <si>
    <t>盒</t>
  </si>
  <si>
    <t>1kg/盒</t>
  </si>
  <si>
    <t>蘿蔔糕(片)</t>
  </si>
  <si>
    <t>片</t>
  </si>
  <si>
    <t>10片/盒</t>
  </si>
  <si>
    <t>X022</t>
  </si>
  <si>
    <t>雞絲麵(包/5塊)</t>
  </si>
  <si>
    <t>包</t>
  </si>
  <si>
    <t>檸檬汁</t>
  </si>
  <si>
    <t>U011</t>
  </si>
  <si>
    <t>瓶</t>
  </si>
  <si>
    <t>個</t>
  </si>
  <si>
    <t>30顆/包</t>
  </si>
  <si>
    <t>X114</t>
  </si>
  <si>
    <t>罐</t>
  </si>
  <si>
    <t>葡萄乾</t>
  </si>
  <si>
    <t>X089</t>
  </si>
  <si>
    <t>X096</t>
  </si>
  <si>
    <t>義大利麵(包/500g)</t>
  </si>
  <si>
    <t>螺旋麵</t>
  </si>
  <si>
    <t>N039</t>
  </si>
  <si>
    <t>源鴻億福州丸(3kg)</t>
  </si>
  <si>
    <t>3KG/包</t>
  </si>
  <si>
    <t>椰漿(罐)</t>
  </si>
  <si>
    <t>Y095</t>
  </si>
  <si>
    <t>無鹽奶油塊</t>
  </si>
  <si>
    <t>I020</t>
  </si>
  <si>
    <t>塊</t>
  </si>
  <si>
    <t>乳酪絲</t>
  </si>
  <si>
    <t>K034</t>
  </si>
  <si>
    <t>起司絲(包/1kg)</t>
  </si>
  <si>
    <t>1kg/包</t>
  </si>
  <si>
    <t>獅子頭</t>
  </si>
  <si>
    <t>K012</t>
  </si>
  <si>
    <t>津谷獅子頭CAS011721(包/3KG)</t>
  </si>
  <si>
    <t>3kg/包</t>
  </si>
  <si>
    <t>麵包</t>
  </si>
  <si>
    <t>U024</t>
  </si>
  <si>
    <t>芝麻肉鬆麵包-暖暖</t>
  </si>
  <si>
    <t>果汁</t>
  </si>
  <si>
    <t>J056</t>
  </si>
  <si>
    <t>波蜜果汁</t>
  </si>
  <si>
    <t>養生饅頭</t>
  </si>
  <si>
    <t>V087</t>
  </si>
  <si>
    <t>奇美養生饅頭(20個/包)</t>
  </si>
  <si>
    <t>銀絲卷</t>
  </si>
  <si>
    <t>V067</t>
  </si>
  <si>
    <t>奇美銀絲卷(包/10粒)</t>
  </si>
  <si>
    <t>10顆/包</t>
  </si>
  <si>
    <t>黑糖捲</t>
  </si>
  <si>
    <t>V109</t>
  </si>
  <si>
    <t>奇美黑糖捲(包/20顆)</t>
  </si>
  <si>
    <t>V116</t>
  </si>
  <si>
    <t>奇美芝麻包(包/30粒)</t>
  </si>
  <si>
    <t>豆沙包</t>
  </si>
  <si>
    <t>V096</t>
  </si>
  <si>
    <t>奇美豆沙包</t>
  </si>
  <si>
    <t>奇美芋泥包(30入/包)</t>
  </si>
  <si>
    <t>V137</t>
  </si>
  <si>
    <t>芋泥包</t>
  </si>
  <si>
    <t>V042</t>
  </si>
  <si>
    <t>奇美牛奶饅頭(包/25個)</t>
  </si>
  <si>
    <t>花枝丸</t>
  </si>
  <si>
    <t>N045</t>
  </si>
  <si>
    <t>宏嘉花枝丸(3kg)</t>
  </si>
  <si>
    <t>U001</t>
  </si>
  <si>
    <t>玉米粒(小罐)(學校用)</t>
  </si>
  <si>
    <t>X021</t>
  </si>
  <si>
    <t>永偉玉米醬(小)</t>
  </si>
  <si>
    <t>四神包</t>
  </si>
  <si>
    <t>X059</t>
  </si>
  <si>
    <t>四神包(300g)</t>
  </si>
  <si>
    <t>大四角油豆腐</t>
  </si>
  <si>
    <t>W081</t>
  </si>
  <si>
    <t>四角油豆腐(75g)</t>
  </si>
  <si>
    <t>75g/個</t>
  </si>
  <si>
    <t>冬瓜塊</t>
  </si>
  <si>
    <t>Y096</t>
  </si>
  <si>
    <t>份</t>
  </si>
  <si>
    <t>中粗米粉(包/400g)</t>
  </si>
  <si>
    <t>X064</t>
  </si>
  <si>
    <t>Q020</t>
  </si>
  <si>
    <t>CAS鹹蛋</t>
  </si>
  <si>
    <t>鴨鹹蛋</t>
  </si>
  <si>
    <t>鴨皮蛋</t>
  </si>
  <si>
    <t>Q019</t>
  </si>
  <si>
    <t>CAS皮蛋</t>
  </si>
  <si>
    <t>醬冬瓜</t>
  </si>
  <si>
    <t>桶</t>
  </si>
  <si>
    <t/>
  </si>
  <si>
    <t>藍莓果醬</t>
  </si>
  <si>
    <t>鮮肉包</t>
  </si>
  <si>
    <t>J044</t>
  </si>
  <si>
    <t>公升</t>
  </si>
  <si>
    <t>蜂蜜蛋糕</t>
  </si>
  <si>
    <t>菜包</t>
  </si>
  <si>
    <t>湯包</t>
  </si>
  <si>
    <t>草莓果醬</t>
  </si>
  <si>
    <t>900g/罐</t>
  </si>
  <si>
    <t>珍珠丸</t>
  </si>
  <si>
    <t>吐司</t>
  </si>
  <si>
    <t>全麥吐司</t>
  </si>
  <si>
    <t>小盒</t>
  </si>
  <si>
    <t>大盒</t>
  </si>
  <si>
    <t>奶皇包</t>
  </si>
  <si>
    <t>五惠花生醬</t>
  </si>
  <si>
    <t>300g/盒</t>
  </si>
  <si>
    <t>主食類</t>
  </si>
  <si>
    <t>Q009</t>
  </si>
  <si>
    <t>KG</t>
  </si>
  <si>
    <t>E006</t>
  </si>
  <si>
    <t>冷凍玉米粒(CAS)</t>
  </si>
  <si>
    <t>三色豆</t>
  </si>
  <si>
    <t>E001</t>
  </si>
  <si>
    <t>冷凍三色丁</t>
  </si>
  <si>
    <t>F023</t>
  </si>
  <si>
    <t>烏龍麵</t>
  </si>
  <si>
    <t>F030</t>
  </si>
  <si>
    <t>S026</t>
  </si>
  <si>
    <t>豆薯</t>
  </si>
  <si>
    <t>S033</t>
  </si>
  <si>
    <t>刈薯</t>
  </si>
  <si>
    <t>S038</t>
  </si>
  <si>
    <t>S043</t>
  </si>
  <si>
    <t>S047</t>
  </si>
  <si>
    <t>蓮藕</t>
  </si>
  <si>
    <t>S058</t>
  </si>
  <si>
    <t>芋頭</t>
  </si>
  <si>
    <t>S007</t>
  </si>
  <si>
    <t>甜不辣條</t>
  </si>
  <si>
    <t>R010</t>
  </si>
  <si>
    <t>板條</t>
  </si>
  <si>
    <t>V046</t>
  </si>
  <si>
    <t>扁白油麵</t>
  </si>
  <si>
    <t>V069</t>
  </si>
  <si>
    <t>陽春麵</t>
  </si>
  <si>
    <t>V053</t>
  </si>
  <si>
    <t>V054</t>
  </si>
  <si>
    <t>蒟蒻捲</t>
  </si>
  <si>
    <t>W053</t>
  </si>
  <si>
    <t>蒟蒻小捲</t>
  </si>
  <si>
    <t>蒟蒻小卷</t>
  </si>
  <si>
    <t>X002</t>
  </si>
  <si>
    <t>黑秈糯米</t>
  </si>
  <si>
    <t>X005</t>
  </si>
  <si>
    <t>X035</t>
  </si>
  <si>
    <t>西米露</t>
  </si>
  <si>
    <t>X038</t>
  </si>
  <si>
    <t>X039</t>
  </si>
  <si>
    <t>X042</t>
  </si>
  <si>
    <t>米粉</t>
  </si>
  <si>
    <t>X045</t>
  </si>
  <si>
    <t>米粉300g/包(虎牌)</t>
  </si>
  <si>
    <t>X048</t>
  </si>
  <si>
    <t>QQ圓</t>
  </si>
  <si>
    <t>U016</t>
  </si>
  <si>
    <t>寬冬粉</t>
  </si>
  <si>
    <t>X051</t>
  </si>
  <si>
    <t>寬粉</t>
  </si>
  <si>
    <t>X056</t>
  </si>
  <si>
    <t>綠豆仁</t>
  </si>
  <si>
    <t>X077</t>
  </si>
  <si>
    <t>五穀米</t>
  </si>
  <si>
    <t>X078</t>
  </si>
  <si>
    <t>十穀米</t>
  </si>
  <si>
    <t>大薏仁</t>
  </si>
  <si>
    <t>X049</t>
  </si>
  <si>
    <t>X004</t>
  </si>
  <si>
    <t>燕麥</t>
  </si>
  <si>
    <t>X008</t>
  </si>
  <si>
    <t>小米</t>
  </si>
  <si>
    <t>X016</t>
  </si>
  <si>
    <t>栗子</t>
  </si>
  <si>
    <t>S080</t>
  </si>
  <si>
    <t>雪蓮子</t>
  </si>
  <si>
    <t>X123</t>
  </si>
  <si>
    <t>X003</t>
  </si>
  <si>
    <t>米</t>
  </si>
  <si>
    <t>乾蓮子</t>
  </si>
  <si>
    <t>X034</t>
  </si>
  <si>
    <t>X065</t>
  </si>
  <si>
    <t>糙米</t>
  </si>
  <si>
    <t>X047</t>
  </si>
  <si>
    <t>花豆</t>
  </si>
  <si>
    <t>X074</t>
  </si>
  <si>
    <t>X010</t>
  </si>
  <si>
    <t>鷹嘴豆</t>
  </si>
  <si>
    <t>白麵線</t>
  </si>
  <si>
    <t>X067</t>
  </si>
  <si>
    <t>豆魚蛋肉類</t>
  </si>
  <si>
    <t>角螺</t>
  </si>
  <si>
    <t>L003</t>
  </si>
  <si>
    <t>雅勝8/2絞肉CAS011002</t>
  </si>
  <si>
    <t>豬前腿肉絲</t>
  </si>
  <si>
    <t>L101</t>
  </si>
  <si>
    <t>雅勝前腿肉絲CAS011002</t>
  </si>
  <si>
    <t>豬前腿肉片</t>
  </si>
  <si>
    <t>L201</t>
  </si>
  <si>
    <t>雅勝前腿肉片CAS011002</t>
  </si>
  <si>
    <t>L403</t>
  </si>
  <si>
    <t>雅勝軟骨排丁CAS011002</t>
  </si>
  <si>
    <t>中排丁</t>
  </si>
  <si>
    <t>L411</t>
  </si>
  <si>
    <t>立大中排肉CAS010202</t>
  </si>
  <si>
    <t>雞胸丁</t>
  </si>
  <si>
    <t>P513</t>
  </si>
  <si>
    <t>卜蜂雞胸丁</t>
  </si>
  <si>
    <t>P523</t>
  </si>
  <si>
    <t>勝威棒腿丁</t>
  </si>
  <si>
    <t>雞清胸肉</t>
  </si>
  <si>
    <t>P611</t>
  </si>
  <si>
    <t>卜蜂清雞胸肉丁</t>
  </si>
  <si>
    <t>無骨雞腿肉</t>
  </si>
  <si>
    <t>P704</t>
  </si>
  <si>
    <t>Q004</t>
  </si>
  <si>
    <t>大成洗選雞蛋</t>
  </si>
  <si>
    <t>虱目魚柳</t>
  </si>
  <si>
    <t>N033</t>
  </si>
  <si>
    <t>魷魚條</t>
  </si>
  <si>
    <t>N012</t>
  </si>
  <si>
    <t>小魚干</t>
  </si>
  <si>
    <t>R006</t>
  </si>
  <si>
    <t>毛豆仁</t>
  </si>
  <si>
    <t>E004</t>
  </si>
  <si>
    <t>冷凍毛豆仁</t>
  </si>
  <si>
    <t>A001</t>
  </si>
  <si>
    <t>津谷火腿丁CAS011715</t>
  </si>
  <si>
    <t>細豆腐(盒/1.2kg)</t>
  </si>
  <si>
    <t>盒/1.2kg</t>
  </si>
  <si>
    <t>W001</t>
  </si>
  <si>
    <t>凍豆腐</t>
  </si>
  <si>
    <t>W003</t>
  </si>
  <si>
    <t>豆干</t>
  </si>
  <si>
    <t>W004</t>
  </si>
  <si>
    <t>W005</t>
  </si>
  <si>
    <t>大黑豆干12切</t>
  </si>
  <si>
    <t>W006</t>
  </si>
  <si>
    <t>黑豆干</t>
  </si>
  <si>
    <t>黃豆干片</t>
  </si>
  <si>
    <t>W007</t>
  </si>
  <si>
    <t>豆干片</t>
  </si>
  <si>
    <t>黃豆干</t>
  </si>
  <si>
    <t>白干絲</t>
  </si>
  <si>
    <t>W008</t>
  </si>
  <si>
    <t>三角油豆腐</t>
  </si>
  <si>
    <t>W009</t>
  </si>
  <si>
    <t>油豆腐</t>
  </si>
  <si>
    <t>小四角油豆腐</t>
  </si>
  <si>
    <t>油豆腐丁</t>
  </si>
  <si>
    <t>W010</t>
  </si>
  <si>
    <t>生豆包</t>
  </si>
  <si>
    <t>W017</t>
  </si>
  <si>
    <t>百頁豆腐</t>
  </si>
  <si>
    <t>W020</t>
  </si>
  <si>
    <t>豆皮捲</t>
  </si>
  <si>
    <t>W035</t>
  </si>
  <si>
    <t>豆皮捲(角螺)</t>
  </si>
  <si>
    <t>麵輪</t>
  </si>
  <si>
    <t>W069</t>
  </si>
  <si>
    <t>粗干絲</t>
  </si>
  <si>
    <t>W082</t>
  </si>
  <si>
    <t>1/4豆干</t>
  </si>
  <si>
    <t>W084</t>
  </si>
  <si>
    <t>黑豆豉</t>
  </si>
  <si>
    <t>X060</t>
  </si>
  <si>
    <t>豆豉</t>
  </si>
  <si>
    <t>麵筋泡</t>
  </si>
  <si>
    <t>X055</t>
  </si>
  <si>
    <t>N046</t>
  </si>
  <si>
    <t>K024</t>
  </si>
  <si>
    <t>津谷貢丸CAS011718</t>
  </si>
  <si>
    <t>K025</t>
  </si>
  <si>
    <t>津谷肉羹CAS011719</t>
  </si>
  <si>
    <t>源鴻億魷魚羹CAS028809</t>
  </si>
  <si>
    <t>R015</t>
  </si>
  <si>
    <t>W071</t>
  </si>
  <si>
    <t>竹輪(包/600G)</t>
  </si>
  <si>
    <t>虱目魚羹</t>
  </si>
  <si>
    <t>N014</t>
  </si>
  <si>
    <t>N021</t>
  </si>
  <si>
    <t>黑輪</t>
  </si>
  <si>
    <t>Q013</t>
  </si>
  <si>
    <t>E036</t>
  </si>
  <si>
    <t>冷凍青花椰菜</t>
  </si>
  <si>
    <t>冷凍白花菜</t>
  </si>
  <si>
    <t>E037</t>
  </si>
  <si>
    <t>冷凍白花椰菜</t>
  </si>
  <si>
    <t>大蒜泥</t>
  </si>
  <si>
    <t>S001</t>
  </si>
  <si>
    <t>蒜粗</t>
  </si>
  <si>
    <t>大蒜仁</t>
  </si>
  <si>
    <t>大蒜粗</t>
  </si>
  <si>
    <t>S002</t>
  </si>
  <si>
    <t>S003</t>
  </si>
  <si>
    <t>玉米筍</t>
  </si>
  <si>
    <t>S004</t>
  </si>
  <si>
    <t>S005</t>
  </si>
  <si>
    <t>青蔥</t>
  </si>
  <si>
    <t>S006</t>
  </si>
  <si>
    <t>S008</t>
  </si>
  <si>
    <t>S009</t>
  </si>
  <si>
    <t>S010</t>
  </si>
  <si>
    <t>金針花</t>
  </si>
  <si>
    <t>西洋芹</t>
  </si>
  <si>
    <t>S011</t>
  </si>
  <si>
    <t>空心菜</t>
  </si>
  <si>
    <t>S017</t>
  </si>
  <si>
    <t>S020</t>
  </si>
  <si>
    <t>綠豆芽</t>
  </si>
  <si>
    <t>S021</t>
  </si>
  <si>
    <t>S022</t>
  </si>
  <si>
    <t>冬瓜</t>
  </si>
  <si>
    <t>S023</t>
  </si>
  <si>
    <t>S024</t>
  </si>
  <si>
    <t>嫩薑泥</t>
  </si>
  <si>
    <t>薑泥</t>
  </si>
  <si>
    <t>瓠瓜</t>
  </si>
  <si>
    <t>S027</t>
  </si>
  <si>
    <t>扁浦</t>
  </si>
  <si>
    <t>小黃瓜</t>
  </si>
  <si>
    <t>S029</t>
  </si>
  <si>
    <t>S031</t>
  </si>
  <si>
    <t>S032</t>
  </si>
  <si>
    <t>S034</t>
  </si>
  <si>
    <t>四季豆</t>
  </si>
  <si>
    <t>S035</t>
  </si>
  <si>
    <t>S036</t>
  </si>
  <si>
    <t>S037</t>
  </si>
  <si>
    <t>九層塔</t>
  </si>
  <si>
    <t>S039</t>
  </si>
  <si>
    <t>竹筍</t>
  </si>
  <si>
    <t>S040</t>
  </si>
  <si>
    <t>S042</t>
  </si>
  <si>
    <t>S044</t>
  </si>
  <si>
    <t>S046</t>
  </si>
  <si>
    <t>油麥菜</t>
  </si>
  <si>
    <t>S048</t>
  </si>
  <si>
    <t>福山萵苣</t>
  </si>
  <si>
    <t>S054</t>
  </si>
  <si>
    <t>茄子</t>
  </si>
  <si>
    <t>S055</t>
  </si>
  <si>
    <t>S056</t>
  </si>
  <si>
    <t>蚵白菜</t>
  </si>
  <si>
    <t>S059</t>
  </si>
  <si>
    <t>蒜頭</t>
  </si>
  <si>
    <t>S060</t>
  </si>
  <si>
    <t>S061</t>
  </si>
  <si>
    <t>S062</t>
  </si>
  <si>
    <t>長豆</t>
  </si>
  <si>
    <t>S063</t>
  </si>
  <si>
    <t>甜豆</t>
  </si>
  <si>
    <t>S064</t>
  </si>
  <si>
    <t>荷蘭豆</t>
  </si>
  <si>
    <t>S069</t>
  </si>
  <si>
    <t>紅椒</t>
  </si>
  <si>
    <t>S070</t>
  </si>
  <si>
    <t>彩椒</t>
  </si>
  <si>
    <t>黃椒</t>
  </si>
  <si>
    <t>秀珍菇</t>
  </si>
  <si>
    <t>S072</t>
  </si>
  <si>
    <t>洋菇</t>
  </si>
  <si>
    <t>S074</t>
  </si>
  <si>
    <t>S078</t>
  </si>
  <si>
    <t>嫩薑</t>
  </si>
  <si>
    <t>s083</t>
  </si>
  <si>
    <t>絲瓜</t>
  </si>
  <si>
    <t>S025</t>
  </si>
  <si>
    <t>W025</t>
  </si>
  <si>
    <t>海帶絲</t>
  </si>
  <si>
    <t>W026</t>
  </si>
  <si>
    <t>海帶根</t>
  </si>
  <si>
    <t>W027</t>
  </si>
  <si>
    <t>海帶捲</t>
  </si>
  <si>
    <t>W028</t>
  </si>
  <si>
    <t>韓式泡菜</t>
  </si>
  <si>
    <t>X066</t>
  </si>
  <si>
    <t>泡菜(包/3kg)</t>
  </si>
  <si>
    <t>碎脯</t>
  </si>
  <si>
    <t>X046</t>
  </si>
  <si>
    <t>筍片</t>
  </si>
  <si>
    <t>X079</t>
  </si>
  <si>
    <t>X080</t>
  </si>
  <si>
    <t>筍簽</t>
  </si>
  <si>
    <t>筍干</t>
  </si>
  <si>
    <t>X081</t>
  </si>
  <si>
    <t>榨菜絲</t>
  </si>
  <si>
    <t>X083</t>
  </si>
  <si>
    <t>榨菜絲(2.5KG)</t>
  </si>
  <si>
    <t>2.5kg/包</t>
  </si>
  <si>
    <t>梅干菜</t>
  </si>
  <si>
    <t>X086</t>
  </si>
  <si>
    <t>碎瓜</t>
  </si>
  <si>
    <t>X087</t>
  </si>
  <si>
    <t>碎瓜(包/3KG)</t>
  </si>
  <si>
    <t>碎花瓜</t>
  </si>
  <si>
    <t>W070</t>
  </si>
  <si>
    <t>蘿蔔乾</t>
  </si>
  <si>
    <t>X013</t>
  </si>
  <si>
    <t>白木耳</t>
  </si>
  <si>
    <t>X063</t>
  </si>
  <si>
    <t>乾香菇</t>
  </si>
  <si>
    <t>X019</t>
  </si>
  <si>
    <t>X032</t>
  </si>
  <si>
    <t>黑酸菜(包/2.5KG)</t>
  </si>
  <si>
    <t>X095</t>
  </si>
  <si>
    <t>紫菜</t>
  </si>
  <si>
    <t>X031</t>
  </si>
  <si>
    <t>紫菜(包/100g)</t>
  </si>
  <si>
    <t>榨菜絲(小)</t>
  </si>
  <si>
    <t>X084</t>
  </si>
  <si>
    <t>酸白菜-1包/1斤</t>
  </si>
  <si>
    <t>Y133</t>
  </si>
  <si>
    <t>福菜</t>
  </si>
  <si>
    <t>Y101</t>
  </si>
  <si>
    <t>油脂與堅果種子類</t>
  </si>
  <si>
    <t>培根碎</t>
  </si>
  <si>
    <t>C004</t>
  </si>
  <si>
    <t>津谷培根CAS011711</t>
  </si>
  <si>
    <t>熟腰果</t>
  </si>
  <si>
    <t>X128</t>
  </si>
  <si>
    <t>花生粉</t>
  </si>
  <si>
    <t>X072</t>
  </si>
  <si>
    <t>軟花生</t>
  </si>
  <si>
    <t>kg</t>
  </si>
  <si>
    <t>油花生</t>
  </si>
  <si>
    <t>X006</t>
  </si>
  <si>
    <t>熟花生片</t>
  </si>
  <si>
    <t>W075</t>
  </si>
  <si>
    <t>蒜花生</t>
  </si>
  <si>
    <t>X050</t>
  </si>
  <si>
    <t>南瓜籽</t>
  </si>
  <si>
    <t>X134</t>
  </si>
  <si>
    <t>杏仁片</t>
  </si>
  <si>
    <t>Y163</t>
  </si>
  <si>
    <t>調味料</t>
  </si>
  <si>
    <t>Y001</t>
  </si>
  <si>
    <t>冰糖</t>
  </si>
  <si>
    <t>Y003</t>
  </si>
  <si>
    <t>冰糖(包/3kg)</t>
  </si>
  <si>
    <t>Y004</t>
  </si>
  <si>
    <t>白砂糖</t>
  </si>
  <si>
    <t>Y005</t>
  </si>
  <si>
    <t>鮮肉包</t>
    <phoneticPr fontId="1" type="noConversion"/>
  </si>
  <si>
    <t>板條</t>
    <phoneticPr fontId="1" type="noConversion"/>
  </si>
  <si>
    <t>黑輪</t>
    <phoneticPr fontId="1" type="noConversion"/>
  </si>
  <si>
    <t>魷魚羹</t>
    <phoneticPr fontId="1" type="noConversion"/>
  </si>
  <si>
    <t>雞清胸肉</t>
    <phoneticPr fontId="1" type="noConversion"/>
  </si>
  <si>
    <t>無骨雞腿肉</t>
    <phoneticPr fontId="1" type="noConversion"/>
  </si>
  <si>
    <t>豬前腿肉絲</t>
    <phoneticPr fontId="1" type="noConversion"/>
  </si>
  <si>
    <t>蘿蔔糕(片)</t>
    <phoneticPr fontId="2" type="noConversion"/>
  </si>
  <si>
    <t>蘿蔔糕(盒)</t>
    <phoneticPr fontId="1" type="noConversion"/>
  </si>
  <si>
    <t>蘿蔔糕(片)</t>
    <phoneticPr fontId="1" type="noConversion"/>
  </si>
  <si>
    <t>芋頭瘦肉粥</t>
    <phoneticPr fontId="1" type="noConversion"/>
  </si>
  <si>
    <t>芋頭丁</t>
    <phoneticPr fontId="1" type="noConversion"/>
  </si>
  <si>
    <t>豆薯蛋花湯</t>
    <phoneticPr fontId="1" type="noConversion"/>
  </si>
  <si>
    <t>豆薯</t>
    <phoneticPr fontId="1" type="noConversion"/>
  </si>
  <si>
    <t>香菇雞湯麵線</t>
    <phoneticPr fontId="1" type="noConversion"/>
  </si>
  <si>
    <t>白麵線</t>
    <phoneticPr fontId="1" type="noConversion"/>
  </si>
  <si>
    <t>味噌貢丸豆腐湯</t>
    <phoneticPr fontId="1" type="noConversion"/>
  </si>
  <si>
    <t>油腐雞絲麵</t>
    <phoneticPr fontId="1" type="noConversion"/>
  </si>
  <si>
    <t>油豆腐丁</t>
    <phoneticPr fontId="1" type="noConversion"/>
  </si>
  <si>
    <t>粉條甜湯</t>
    <phoneticPr fontId="1" type="noConversion"/>
  </si>
  <si>
    <t>粉條</t>
    <phoneticPr fontId="1" type="noConversion"/>
  </si>
  <si>
    <t>大紅豆</t>
    <phoneticPr fontId="1" type="noConversion"/>
  </si>
  <si>
    <t>八角</t>
    <phoneticPr fontId="1" type="noConversion"/>
  </si>
  <si>
    <t>乾麵筋球</t>
    <phoneticPr fontId="1" type="noConversion"/>
  </si>
  <si>
    <t>馬來糕</t>
    <phoneticPr fontId="1" type="noConversion"/>
  </si>
  <si>
    <t>冬瓜茶</t>
    <phoneticPr fontId="1" type="noConversion"/>
  </si>
  <si>
    <t>紫菜豆腐湯</t>
    <phoneticPr fontId="1" type="noConversion"/>
  </si>
  <si>
    <t>紫菜</t>
    <phoneticPr fontId="1" type="noConversion"/>
  </si>
  <si>
    <t>蘑菇鐵板麵</t>
    <phoneticPr fontId="1" type="noConversion"/>
  </si>
  <si>
    <t>2小罐</t>
  </si>
  <si>
    <t>20小包</t>
  </si>
  <si>
    <t>絞肉</t>
  </si>
  <si>
    <t>銀耳蓮子甜湯</t>
    <phoneticPr fontId="1" type="noConversion"/>
  </si>
  <si>
    <t>白木耳</t>
    <phoneticPr fontId="1" type="noConversion"/>
  </si>
  <si>
    <t>蓮子</t>
    <phoneticPr fontId="1" type="noConversion"/>
  </si>
  <si>
    <t>冰糖</t>
    <phoneticPr fontId="1" type="noConversion"/>
  </si>
  <si>
    <t>水煮蛋</t>
    <phoneticPr fontId="1" type="noConversion"/>
  </si>
  <si>
    <t>麥茶</t>
    <phoneticPr fontId="1" type="noConversion"/>
  </si>
  <si>
    <t>蒜酥</t>
    <phoneticPr fontId="1" type="noConversion"/>
  </si>
  <si>
    <t>2小包</t>
    <phoneticPr fontId="1" type="noConversion"/>
  </si>
  <si>
    <t>全麥吐司</t>
    <phoneticPr fontId="1" type="noConversion"/>
  </si>
  <si>
    <t>1L*7</t>
    <phoneticPr fontId="1" type="noConversion"/>
  </si>
  <si>
    <t>1根</t>
    <phoneticPr fontId="1" type="noConversion"/>
  </si>
  <si>
    <t>菇菇米粉湯</t>
    <phoneticPr fontId="1" type="noConversion"/>
  </si>
  <si>
    <t>4包</t>
    <phoneticPr fontId="1" type="noConversion"/>
  </si>
  <si>
    <t>雪白菇</t>
    <phoneticPr fontId="1" type="noConversion"/>
  </si>
  <si>
    <t>芋圓豆花</t>
    <phoneticPr fontId="1" type="noConversion"/>
  </si>
  <si>
    <t>麻醬麵</t>
    <phoneticPr fontId="1" type="noConversion"/>
  </si>
  <si>
    <t>蔥</t>
    <phoneticPr fontId="1" type="noConversion"/>
  </si>
  <si>
    <t>芝麻醬</t>
    <phoneticPr fontId="1" type="noConversion"/>
  </si>
  <si>
    <t>番茄蛋麵</t>
    <phoneticPr fontId="1" type="noConversion"/>
  </si>
  <si>
    <t>大滷湯餃</t>
    <phoneticPr fontId="1" type="noConversion"/>
  </si>
  <si>
    <t>水煮玉米</t>
    <phoneticPr fontId="1" type="noConversion"/>
  </si>
  <si>
    <t>新鮮玉米</t>
    <phoneticPr fontId="1" type="noConversion"/>
  </si>
  <si>
    <t>綠豆湯</t>
    <phoneticPr fontId="1" type="noConversion"/>
  </si>
  <si>
    <t>咖哩炒麵</t>
    <phoneticPr fontId="1" type="noConversion"/>
  </si>
  <si>
    <t>咖哩粉</t>
    <phoneticPr fontId="1" type="noConversion"/>
  </si>
  <si>
    <t>1塊</t>
    <phoneticPr fontId="1" type="noConversion"/>
  </si>
  <si>
    <t>鮮奶布丁</t>
    <phoneticPr fontId="1" type="noConversion"/>
  </si>
  <si>
    <t>八寶冬粉</t>
    <phoneticPr fontId="1" type="noConversion"/>
  </si>
  <si>
    <t>金針花</t>
    <phoneticPr fontId="1" type="noConversion"/>
  </si>
  <si>
    <t>蝦仁</t>
    <phoneticPr fontId="1" type="noConversion"/>
  </si>
  <si>
    <t>韭菜花</t>
    <phoneticPr fontId="1" type="noConversion"/>
  </si>
  <si>
    <t>熟花生仁</t>
    <phoneticPr fontId="1" type="noConversion"/>
  </si>
  <si>
    <t>花生湯</t>
    <phoneticPr fontId="2" type="noConversion"/>
  </si>
  <si>
    <t>黑糖粉圓地瓜湯</t>
    <phoneticPr fontId="1" type="noConversion"/>
  </si>
  <si>
    <t>豬血糕</t>
    <phoneticPr fontId="1" type="noConversion"/>
  </si>
  <si>
    <t>甜不辣條</t>
    <phoneticPr fontId="1" type="noConversion"/>
  </si>
  <si>
    <t>大黃瓜雞湯</t>
    <phoneticPr fontId="1" type="noConversion"/>
  </si>
  <si>
    <t>雞腿仁</t>
    <phoneticPr fontId="1" type="noConversion"/>
  </si>
  <si>
    <t>2罐</t>
    <phoneticPr fontId="1" type="noConversion"/>
  </si>
  <si>
    <t>奶皇包</t>
    <phoneticPr fontId="1" type="noConversion"/>
  </si>
  <si>
    <t>餛飩湯</t>
    <phoneticPr fontId="1" type="noConversion"/>
  </si>
  <si>
    <t>青木瓜排骨湯</t>
    <phoneticPr fontId="1" type="noConversion"/>
  </si>
  <si>
    <t>青木瓜</t>
    <phoneticPr fontId="1" type="noConversion"/>
  </si>
  <si>
    <t>台式炒麵</t>
    <phoneticPr fontId="1" type="noConversion"/>
  </si>
  <si>
    <t>玉米脆片</t>
    <phoneticPr fontId="1" type="noConversion"/>
  </si>
  <si>
    <t>12顆</t>
    <phoneticPr fontId="1" type="noConversion"/>
  </si>
  <si>
    <t>蘿蔔黑輪湯</t>
    <phoneticPr fontId="1" type="noConversion"/>
  </si>
  <si>
    <t>芹菜珠</t>
    <phoneticPr fontId="1" type="noConversion"/>
  </si>
  <si>
    <t>粿仔湯</t>
    <phoneticPr fontId="1" type="noConversion"/>
  </si>
  <si>
    <t>芹菜珠</t>
  </si>
  <si>
    <t>海芽豆腐湯</t>
    <phoneticPr fontId="1" type="noConversion"/>
  </si>
  <si>
    <t>義大利麵</t>
    <phoneticPr fontId="2" type="noConversion"/>
  </si>
  <si>
    <t>義大利麵條</t>
    <phoneticPr fontId="2" type="noConversion"/>
  </si>
  <si>
    <t>4包</t>
    <phoneticPr fontId="2" type="noConversion"/>
  </si>
  <si>
    <t>羅宋湯</t>
    <phoneticPr fontId="1" type="noConversion"/>
  </si>
  <si>
    <t>番茄醬(小)</t>
    <phoneticPr fontId="1" type="noConversion"/>
  </si>
  <si>
    <t>金銀蛋粥</t>
    <phoneticPr fontId="1" type="noConversion"/>
  </si>
  <si>
    <t>14顆</t>
    <phoneticPr fontId="1" type="noConversion"/>
  </si>
  <si>
    <t>檸檬愛玉</t>
    <phoneticPr fontId="1" type="noConversion"/>
  </si>
  <si>
    <t>愛玉凍</t>
  </si>
  <si>
    <t>檸檬</t>
  </si>
  <si>
    <t>5顆</t>
  </si>
  <si>
    <t xml:space="preserve"> </t>
    <phoneticPr fontId="1" type="noConversion"/>
  </si>
  <si>
    <t>黑豆茶</t>
    <phoneticPr fontId="1" type="noConversion"/>
  </si>
  <si>
    <t>巧達濃湯</t>
    <phoneticPr fontId="1" type="noConversion"/>
  </si>
  <si>
    <t>綠豆地瓜圓湯</t>
    <phoneticPr fontId="1" type="noConversion"/>
  </si>
  <si>
    <t>地瓜園</t>
    <phoneticPr fontId="1" type="noConversion"/>
  </si>
  <si>
    <t>味噌魚片湯</t>
    <phoneticPr fontId="1" type="noConversion"/>
  </si>
  <si>
    <t>鯛魚片</t>
    <phoneticPr fontId="1" type="noConversion"/>
  </si>
  <si>
    <t>3包</t>
    <phoneticPr fontId="1" type="noConversion"/>
  </si>
  <si>
    <t>鮮香菇</t>
    <phoneticPr fontId="1" type="noConversion"/>
  </si>
  <si>
    <t>紅豆湯</t>
    <phoneticPr fontId="1" type="noConversion"/>
  </si>
  <si>
    <t>4盒</t>
  </si>
  <si>
    <t>福州魚丸湯</t>
    <phoneticPr fontId="1" type="noConversion"/>
  </si>
  <si>
    <t>福州魚丸</t>
    <phoneticPr fontId="1" type="noConversion"/>
  </si>
  <si>
    <t>雞茸糙米粥</t>
    <phoneticPr fontId="1" type="noConversion"/>
  </si>
  <si>
    <t>糙米</t>
    <phoneticPr fontId="1" type="noConversion"/>
  </si>
  <si>
    <t>糯米腸</t>
    <phoneticPr fontId="1" type="noConversion"/>
  </si>
  <si>
    <t>決明子茶</t>
    <phoneticPr fontId="1" type="noConversion"/>
  </si>
  <si>
    <t>瘦肉拉麵</t>
    <phoneticPr fontId="2" type="noConversion"/>
  </si>
  <si>
    <t>拉麵</t>
    <phoneticPr fontId="2" type="noConversion"/>
  </si>
  <si>
    <t>豬肉片</t>
    <phoneticPr fontId="2" type="noConversion"/>
  </si>
  <si>
    <t>黑糖西米露</t>
    <phoneticPr fontId="2" type="noConversion"/>
  </si>
  <si>
    <t>西谷米</t>
    <phoneticPr fontId="2" type="noConversion"/>
  </si>
  <si>
    <t>黑糖</t>
    <phoneticPr fontId="2" type="noConversion"/>
  </si>
  <si>
    <t>冷凍芋頭丁</t>
    <phoneticPr fontId="2" type="noConversion"/>
  </si>
  <si>
    <t>青菜豆腐湯</t>
    <phoneticPr fontId="2" type="noConversion"/>
  </si>
  <si>
    <t>板豆腐</t>
    <phoneticPr fontId="2" type="noConversion"/>
  </si>
  <si>
    <t>3小罐</t>
    <phoneticPr fontId="2" type="noConversion"/>
  </si>
  <si>
    <t>八寶粥</t>
    <phoneticPr fontId="1" type="noConversion"/>
  </si>
  <si>
    <t>八寶雜糧</t>
    <phoneticPr fontId="1" type="noConversion"/>
  </si>
  <si>
    <t>洛神花茶</t>
    <phoneticPr fontId="1" type="noConversion"/>
  </si>
  <si>
    <t>洛神花茶包</t>
    <phoneticPr fontId="1" type="noConversion"/>
  </si>
  <si>
    <t>玉米醬罐頭</t>
    <phoneticPr fontId="1" type="noConversion"/>
  </si>
  <si>
    <t>炒河粉</t>
    <phoneticPr fontId="1" type="noConversion"/>
  </si>
  <si>
    <t>粄條</t>
    <phoneticPr fontId="1" type="noConversion"/>
  </si>
  <si>
    <t>素蠔油</t>
    <phoneticPr fontId="1" type="noConversion"/>
  </si>
  <si>
    <t>玉米排骨湯</t>
  </si>
  <si>
    <t>新鮮玉米</t>
  </si>
  <si>
    <t>15根</t>
    <phoneticPr fontId="1" type="noConversion"/>
  </si>
  <si>
    <t>南瓜瘦肉粥</t>
    <phoneticPr fontId="2" type="noConversion"/>
  </si>
  <si>
    <t>南瓜</t>
    <phoneticPr fontId="2" type="noConversion"/>
  </si>
  <si>
    <t>銀絲卷</t>
    <phoneticPr fontId="2" type="noConversion"/>
  </si>
  <si>
    <t>銀絲卷</t>
    <phoneticPr fontId="1" type="noConversion"/>
  </si>
  <si>
    <t>養生粥</t>
    <phoneticPr fontId="1" type="noConversion"/>
  </si>
  <si>
    <t>金針肉絲湯</t>
    <phoneticPr fontId="2" type="noConversion"/>
  </si>
  <si>
    <t>芋頭米粉湯</t>
    <phoneticPr fontId="1" type="noConversion"/>
  </si>
  <si>
    <t>芋頭塊</t>
    <phoneticPr fontId="1" type="noConversion"/>
  </si>
  <si>
    <t>擔仔麵</t>
    <phoneticPr fontId="2" type="noConversion"/>
  </si>
  <si>
    <t>小籠包</t>
    <phoneticPr fontId="1" type="noConversion"/>
  </si>
  <si>
    <t>黑糖豆花</t>
    <phoneticPr fontId="2" type="noConversion"/>
  </si>
  <si>
    <t>豆花</t>
    <phoneticPr fontId="2" type="noConversion"/>
  </si>
  <si>
    <t>熟花生半</t>
    <phoneticPr fontId="1" type="noConversion"/>
  </si>
  <si>
    <t>菠菜吻魚羹</t>
    <phoneticPr fontId="2" type="noConversion"/>
  </si>
  <si>
    <t>菠菜</t>
    <phoneticPr fontId="2" type="noConversion"/>
  </si>
  <si>
    <t>珍珠丸</t>
    <phoneticPr fontId="2" type="noConversion"/>
  </si>
  <si>
    <t>珍珠丸</t>
    <phoneticPr fontId="1" type="noConversion"/>
  </si>
  <si>
    <t>養生茶</t>
    <phoneticPr fontId="1" type="noConversion"/>
  </si>
  <si>
    <t>香菇豆薯湯</t>
    <phoneticPr fontId="1" type="noConversion"/>
  </si>
  <si>
    <t>茶葉蛋</t>
    <phoneticPr fontId="2" type="noConversion"/>
  </si>
  <si>
    <t>提前一天送達</t>
    <phoneticPr fontId="1" type="noConversion"/>
  </si>
  <si>
    <t>魚丸冬粉湯</t>
    <phoneticPr fontId="2" type="noConversion"/>
  </si>
  <si>
    <t>花生仁甜湯</t>
    <phoneticPr fontId="1" type="noConversion"/>
  </si>
  <si>
    <t>花生仁</t>
    <phoneticPr fontId="1" type="noConversion"/>
  </si>
  <si>
    <t>燕麥片</t>
    <phoneticPr fontId="1" type="noConversion"/>
  </si>
  <si>
    <t>粿仔條湯</t>
    <phoneticPr fontId="1" type="noConversion"/>
  </si>
  <si>
    <t>糙米(提前一天送)</t>
    <phoneticPr fontId="1" type="noConversion"/>
  </si>
  <si>
    <t>鍋燒麵</t>
    <phoneticPr fontId="1" type="noConversion"/>
  </si>
  <si>
    <t>白菜豆腐羹</t>
    <phoneticPr fontId="2" type="noConversion"/>
  </si>
  <si>
    <t>滷油腐</t>
    <phoneticPr fontId="2" type="noConversion"/>
  </si>
  <si>
    <t>小三角油豆腐</t>
    <phoneticPr fontId="2" type="noConversion"/>
  </si>
  <si>
    <t>滷包</t>
    <phoneticPr fontId="1" type="noConversion"/>
  </si>
  <si>
    <t>南瓜絞肉粥</t>
    <phoneticPr fontId="1" type="noConversion"/>
  </si>
  <si>
    <t>桂圓銀耳甜湯</t>
    <phoneticPr fontId="2" type="noConversion"/>
  </si>
  <si>
    <t>白木耳</t>
    <phoneticPr fontId="2" type="noConversion"/>
  </si>
  <si>
    <t>桂圓</t>
    <phoneticPr fontId="2" type="noConversion"/>
  </si>
  <si>
    <t>4小包</t>
    <phoneticPr fontId="2" type="noConversion"/>
  </si>
  <si>
    <t>2小包</t>
    <phoneticPr fontId="2" type="noConversion"/>
  </si>
  <si>
    <t>雞絲湯麵</t>
    <phoneticPr fontId="1" type="noConversion"/>
  </si>
  <si>
    <t>雞胸肉</t>
    <phoneticPr fontId="1" type="noConversion"/>
  </si>
  <si>
    <t>燒仙草</t>
    <phoneticPr fontId="1" type="noConversion"/>
  </si>
  <si>
    <t>3L</t>
    <phoneticPr fontId="1" type="noConversion"/>
  </si>
  <si>
    <t>吻魚蛋花粥</t>
    <phoneticPr fontId="1" type="noConversion"/>
  </si>
  <si>
    <t>味噌拉麵</t>
    <phoneticPr fontId="1" type="noConversion"/>
  </si>
  <si>
    <t>4小包</t>
    <phoneticPr fontId="1" type="noConversion"/>
  </si>
  <si>
    <t>福菜雞湯</t>
    <phoneticPr fontId="1" type="noConversion"/>
  </si>
  <si>
    <t>福菜</t>
    <phoneticPr fontId="1" type="noConversion"/>
  </si>
  <si>
    <t>銀耳羹</t>
    <phoneticPr fontId="1" type="noConversion"/>
  </si>
  <si>
    <t>翡翠雞茸粥</t>
    <phoneticPr fontId="1" type="noConversion"/>
  </si>
  <si>
    <t>2小罐</t>
    <phoneticPr fontId="1" type="noConversion"/>
  </si>
  <si>
    <t>番茄醬</t>
    <phoneticPr fontId="1" type="noConversion"/>
  </si>
  <si>
    <t>白菜冬粉煲</t>
    <phoneticPr fontId="1" type="noConversion"/>
  </si>
  <si>
    <t>捲心白菜</t>
    <phoneticPr fontId="1" type="noConversion"/>
  </si>
  <si>
    <t>芋頭鹹粥</t>
    <phoneticPr fontId="1" type="noConversion"/>
  </si>
  <si>
    <t>4包</t>
  </si>
  <si>
    <t>海芽蛋花湯</t>
    <phoneticPr fontId="1" type="noConversion"/>
  </si>
  <si>
    <t>貢丸(小)</t>
    <phoneticPr fontId="1" type="noConversion"/>
  </si>
  <si>
    <t>金針排骨湯</t>
    <phoneticPr fontId="1" type="noConversion"/>
  </si>
  <si>
    <t>軟骨排丁</t>
    <phoneticPr fontId="1" type="noConversion"/>
  </si>
  <si>
    <t>浮水魚羹麵</t>
    <phoneticPr fontId="1" type="noConversion"/>
  </si>
  <si>
    <t>虱目魚羹</t>
    <phoneticPr fontId="1" type="noConversion"/>
  </si>
  <si>
    <t>筍簽</t>
    <phoneticPr fontId="1" type="noConversion"/>
  </si>
  <si>
    <t>義式田園蔬菜湯</t>
    <phoneticPr fontId="1" type="noConversion"/>
  </si>
  <si>
    <t>義大利香料</t>
    <phoneticPr fontId="1" type="noConversion"/>
  </si>
  <si>
    <t>紫米蓮子甜湯</t>
    <phoneticPr fontId="1" type="noConversion"/>
  </si>
  <si>
    <t>豆干包湯</t>
    <phoneticPr fontId="1" type="noConversion"/>
  </si>
  <si>
    <t>豆干包</t>
    <phoneticPr fontId="1" type="noConversion"/>
  </si>
  <si>
    <t>家常肉絲炒麵</t>
    <phoneticPr fontId="1" type="noConversion"/>
  </si>
  <si>
    <t>扁白油麵</t>
    <phoneticPr fontId="1" type="noConversion"/>
  </si>
  <si>
    <t>滷鴿蛋</t>
    <phoneticPr fontId="1" type="noConversion"/>
  </si>
  <si>
    <t>小鴿蛋</t>
    <phoneticPr fontId="1" type="noConversion"/>
  </si>
  <si>
    <t>玉米脆片+鮮奶</t>
    <phoneticPr fontId="1" type="noConversion"/>
  </si>
  <si>
    <t>肉燥米粉湯</t>
    <phoneticPr fontId="1" type="noConversion"/>
  </si>
  <si>
    <t>生日蛋糕(自購)</t>
    <phoneticPr fontId="1" type="noConversion"/>
  </si>
  <si>
    <t>菜包</t>
    <phoneticPr fontId="1" type="noConversion"/>
  </si>
  <si>
    <t>家常麵疙瘩</t>
    <phoneticPr fontId="1" type="noConversion"/>
  </si>
  <si>
    <t>銀耳蓮子羹</t>
    <phoneticPr fontId="1" type="noConversion"/>
  </si>
  <si>
    <t>基隆中和國民小學附設幼兒園</t>
    <phoneticPr fontId="2" type="noConversion"/>
  </si>
  <si>
    <t>桂圓紫米粥</t>
    <phoneticPr fontId="1" type="noConversion"/>
  </si>
  <si>
    <t>奶皇包+洛神花茶</t>
    <phoneticPr fontId="1" type="noConversion"/>
  </si>
  <si>
    <t>銅鑼燒+麥茶</t>
    <phoneticPr fontId="1" type="noConversion"/>
  </si>
  <si>
    <t>粉圓豆花</t>
    <phoneticPr fontId="1" type="noConversion"/>
  </si>
  <si>
    <t>芝麻包+羅漢果茶</t>
    <phoneticPr fontId="1" type="noConversion"/>
  </si>
  <si>
    <t>湯包</t>
    <phoneticPr fontId="1" type="noConversion"/>
  </si>
  <si>
    <t>花生醬</t>
    <phoneticPr fontId="1" type="noConversion"/>
  </si>
  <si>
    <t>珍珠丸+豆漿</t>
    <phoneticPr fontId="2" type="noConversion"/>
  </si>
  <si>
    <t>酸白菜肉片湯</t>
    <phoneticPr fontId="2" type="noConversion"/>
  </si>
  <si>
    <t>圓糯米</t>
    <phoneticPr fontId="1" type="noConversion"/>
  </si>
  <si>
    <t>芋香西米露</t>
    <phoneticPr fontId="2" type="noConversion"/>
  </si>
  <si>
    <t>椰漿</t>
    <phoneticPr fontId="2" type="noConversion"/>
  </si>
  <si>
    <t>冷凍芋頭丁</t>
    <phoneticPr fontId="1" type="noConversion"/>
  </si>
  <si>
    <t>西谷米</t>
    <phoneticPr fontId="1" type="noConversion"/>
  </si>
  <si>
    <t>椰漿</t>
    <phoneticPr fontId="1" type="noConversion"/>
  </si>
  <si>
    <t>燒賣</t>
    <phoneticPr fontId="2" type="noConversion"/>
  </si>
  <si>
    <t>燒賣+豆漿</t>
    <phoneticPr fontId="2" type="noConversion"/>
  </si>
  <si>
    <t>珍珠豆花</t>
    <phoneticPr fontId="1" type="noConversion"/>
  </si>
  <si>
    <t>香菇肉粥</t>
    <phoneticPr fontId="2" type="noConversion"/>
  </si>
  <si>
    <t>玉米脆片(大)</t>
    <phoneticPr fontId="1" type="noConversion"/>
  </si>
  <si>
    <t>玉米脆片(小)</t>
    <phoneticPr fontId="1" type="noConversion"/>
  </si>
  <si>
    <t>羅漢果茶</t>
    <phoneticPr fontId="1" type="noConversion"/>
  </si>
  <si>
    <t>2顆</t>
    <phoneticPr fontId="1" type="noConversion"/>
  </si>
  <si>
    <t>3盒</t>
    <phoneticPr fontId="1" type="noConversion"/>
  </si>
  <si>
    <t>水果1樣</t>
    <phoneticPr fontId="1" type="noConversion"/>
  </si>
  <si>
    <t>布丁</t>
    <phoneticPr fontId="1" type="noConversion"/>
  </si>
  <si>
    <r>
      <rPr>
        <sz val="12"/>
        <color indexed="8"/>
        <rFont val="標楷體"/>
        <family val="4"/>
        <charset val="136"/>
      </rPr>
      <t>週次</t>
    </r>
    <phoneticPr fontId="2" type="noConversion"/>
  </si>
  <si>
    <r>
      <rPr>
        <sz val="12"/>
        <color indexed="8"/>
        <rFont val="標楷體"/>
        <family val="4"/>
        <charset val="136"/>
      </rPr>
      <t>日期</t>
    </r>
    <phoneticPr fontId="2" type="noConversion"/>
  </si>
  <si>
    <r>
      <rPr>
        <sz val="12"/>
        <color indexed="8"/>
        <rFont val="標楷體"/>
        <family val="4"/>
        <charset val="136"/>
      </rPr>
      <t>點心</t>
    </r>
    <phoneticPr fontId="2" type="noConversion"/>
  </si>
  <si>
    <r>
      <rPr>
        <sz val="12"/>
        <color indexed="8"/>
        <rFont val="標楷體"/>
        <family val="4"/>
        <charset val="136"/>
      </rPr>
      <t>名稱</t>
    </r>
    <phoneticPr fontId="2" type="noConversion"/>
  </si>
  <si>
    <r>
      <rPr>
        <sz val="12"/>
        <color indexed="8"/>
        <rFont val="標楷體"/>
        <family val="4"/>
        <charset val="136"/>
      </rPr>
      <t>食材</t>
    </r>
    <phoneticPr fontId="2" type="noConversion"/>
  </si>
  <si>
    <t>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</si>
  <si>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</si>
  <si>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</si>
  <si>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</si>
  <si>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</si>
  <si>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週六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</si>
  <si>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</si>
  <si>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</si>
  <si>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</si>
  <si>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</si>
  <si>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</si>
  <si>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</si>
  <si>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</si>
  <si>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菜單設計：李宜晉 營養師</t>
    <phoneticPr fontId="2" type="noConversion"/>
  </si>
  <si>
    <r>
      <rPr>
        <sz val="18"/>
        <rFont val="標楷體"/>
        <family val="4"/>
        <charset val="136"/>
      </rPr>
      <t>幼兒園主任：</t>
    </r>
    <phoneticPr fontId="2" type="noConversion"/>
  </si>
  <si>
    <t>校長：</t>
    <phoneticPr fontId="2" type="noConversion"/>
  </si>
  <si>
    <t>海芽肉片湯</t>
    <phoneticPr fontId="1" type="noConversion"/>
  </si>
  <si>
    <t>花豆豆花</t>
    <phoneticPr fontId="1" type="noConversion"/>
  </si>
  <si>
    <t>滷味拼盤</t>
    <phoneticPr fontId="1" type="noConversion"/>
  </si>
  <si>
    <t>鍋貼+水果</t>
    <phoneticPr fontId="1" type="noConversion"/>
  </si>
  <si>
    <t>花豆</t>
    <phoneticPr fontId="1" type="noConversion"/>
  </si>
  <si>
    <t>芋頭牛奶西米露</t>
    <phoneticPr fontId="2" type="noConversion"/>
  </si>
  <si>
    <t>鮮奶</t>
    <phoneticPr fontId="2" type="noConversion"/>
  </si>
  <si>
    <t>羅漢果</t>
    <phoneticPr fontId="1" type="noConversion"/>
  </si>
  <si>
    <t>麻油高麗菜肉片湯</t>
    <phoneticPr fontId="2" type="noConversion"/>
  </si>
  <si>
    <t>香菇肉粥+水果</t>
    <phoneticPr fontId="1" type="noConversion"/>
  </si>
  <si>
    <t>肉燥米粉湯+水果</t>
    <phoneticPr fontId="1" type="noConversion"/>
  </si>
  <si>
    <t>50+2</t>
    <phoneticPr fontId="1" type="noConversion"/>
  </si>
  <si>
    <t>47+2</t>
    <phoneticPr fontId="1" type="noConversion"/>
  </si>
  <si>
    <t>雞絲麵+水果</t>
    <phoneticPr fontId="1" type="noConversion"/>
  </si>
  <si>
    <t>黑糖豆花</t>
    <phoneticPr fontId="1" type="noConversion"/>
  </si>
  <si>
    <t>112學年度第1學期第1週幼兒點心食譜設計表</t>
    <phoneticPr fontId="2" type="noConversion"/>
  </si>
  <si>
    <t>112學年度第1學期第2週幼兒點心食譜設計表</t>
    <phoneticPr fontId="2" type="noConversion"/>
  </si>
  <si>
    <t>112學年度第1學期第3週幼兒點心食譜設計表</t>
    <phoneticPr fontId="2" type="noConversion"/>
  </si>
  <si>
    <t>112學年度第1學期第4週幼兒點心食譜設計表</t>
    <phoneticPr fontId="2" type="noConversion"/>
  </si>
  <si>
    <t>112學年度第1學期第5週幼兒點心食譜設計表</t>
    <phoneticPr fontId="2" type="noConversion"/>
  </si>
  <si>
    <t>杯子蛋糕+陳皮茶</t>
    <phoneticPr fontId="1" type="noConversion"/>
  </si>
  <si>
    <t>陳皮茶</t>
    <phoneticPr fontId="1" type="noConversion"/>
  </si>
  <si>
    <t>南瓜絞肉粥+水果</t>
    <phoneticPr fontId="1" type="noConversion"/>
  </si>
  <si>
    <t>雞茸糙米粥+水果</t>
    <phoneticPr fontId="1" type="noConversion"/>
  </si>
  <si>
    <t>番茄蛋麵+水果</t>
    <phoneticPr fontId="1" type="noConversion"/>
  </si>
  <si>
    <t>黑糖西米露</t>
    <phoneticPr fontId="1" type="noConversion"/>
  </si>
  <si>
    <t>菜包+陳皮茶</t>
    <phoneticPr fontId="1" type="noConversion"/>
  </si>
  <si>
    <t>玉米排骨湯</t>
    <phoneticPr fontId="1" type="noConversion"/>
  </si>
  <si>
    <t>全麥吐司+豆漿</t>
    <phoneticPr fontId="1" type="noConversion"/>
  </si>
  <si>
    <t>獅子頭</t>
    <phoneticPr fontId="1" type="noConversion"/>
  </si>
  <si>
    <t>白菜冬粉煲+水果</t>
    <phoneticPr fontId="1" type="noConversion"/>
  </si>
  <si>
    <t>枸杞雞湯麵線</t>
    <phoneticPr fontId="1" type="noConversion"/>
  </si>
  <si>
    <t>白菜獅子頭+水果</t>
    <phoneticPr fontId="1" type="noConversion"/>
  </si>
  <si>
    <t>沙其馬+鮮奶</t>
    <phoneticPr fontId="1" type="noConversion"/>
  </si>
  <si>
    <t>瘦肉拉麵+水果</t>
    <phoneticPr fontId="1" type="noConversion"/>
  </si>
  <si>
    <t>紫菜蛋花湯</t>
    <phoneticPr fontId="1" type="noConversion"/>
  </si>
  <si>
    <t>小兔包+豆漿</t>
    <phoneticPr fontId="1" type="noConversion"/>
  </si>
  <si>
    <r>
      <rPr>
        <b/>
        <sz val="14"/>
        <color theme="1"/>
        <rFont val="標楷體"/>
        <family val="4"/>
        <charset val="136"/>
      </rPr>
      <t>基隆市中和國民小學附設幼兒園</t>
    </r>
    <r>
      <rPr>
        <b/>
        <sz val="14"/>
        <color theme="1"/>
        <rFont val="Book Antiqua"/>
        <family val="1"/>
      </rPr>
      <t xml:space="preserve">                                             112</t>
    </r>
    <r>
      <rPr>
        <b/>
        <sz val="14"/>
        <color theme="1"/>
        <rFont val="標楷體"/>
        <family val="4"/>
        <charset val="136"/>
      </rPr>
      <t>學年度第</t>
    </r>
    <r>
      <rPr>
        <b/>
        <sz val="14"/>
        <color theme="1"/>
        <rFont val="Book Antiqua"/>
        <family val="4"/>
      </rPr>
      <t>1</t>
    </r>
    <r>
      <rPr>
        <b/>
        <sz val="14"/>
        <color theme="1"/>
        <rFont val="標楷體"/>
        <family val="4"/>
        <charset val="136"/>
      </rPr>
      <t>學期</t>
    </r>
    <r>
      <rPr>
        <b/>
        <sz val="14"/>
        <color theme="1"/>
        <rFont val="Book Antiqua"/>
        <family val="4"/>
      </rPr>
      <t>12</t>
    </r>
    <r>
      <rPr>
        <b/>
        <sz val="14"/>
        <color theme="1"/>
        <rFont val="標楷體"/>
        <family val="4"/>
        <charset val="136"/>
      </rPr>
      <t>月份點心單</t>
    </r>
    <phoneticPr fontId="1" type="noConversion"/>
  </si>
  <si>
    <t>燒賣+麥茶</t>
    <phoneticPr fontId="1" type="noConversion"/>
  </si>
  <si>
    <t>2L*2 1L*3</t>
  </si>
  <si>
    <t>白菜獅子頭</t>
    <phoneticPr fontId="2" type="noConversion"/>
  </si>
  <si>
    <t>脆筍片</t>
    <phoneticPr fontId="1" type="noConversion"/>
  </si>
  <si>
    <t>魷魚羹麵</t>
    <phoneticPr fontId="1" type="noConversion"/>
  </si>
  <si>
    <t>魷魚羹麵+水果</t>
    <phoneticPr fontId="1" type="noConversion"/>
  </si>
  <si>
    <t>家常麵</t>
    <phoneticPr fontId="1" type="noConversion"/>
  </si>
  <si>
    <t>玉米脆片+鮮奶</t>
    <phoneticPr fontId="1" type="noConversion"/>
  </si>
  <si>
    <r>
      <rPr>
        <sz val="12"/>
        <color rgb="FF0070C0"/>
        <rFont val="標楷體"/>
        <family val="4"/>
        <charset val="136"/>
      </rPr>
      <t>味噌貢丸豆腐湯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</si>
  <si>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r>
      <rPr>
        <sz val="12"/>
        <color rgb="FF0070C0"/>
        <rFont val="標楷體"/>
        <family val="4"/>
        <charset val="136"/>
      </rPr>
      <t>青菜豆腐湯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</si>
  <si>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菜包+豆漿</t>
    <phoneticPr fontId="1" type="noConversion"/>
  </si>
  <si>
    <t>珍珠丸+黑豆茶</t>
    <phoneticPr fontId="1" type="noConversion"/>
  </si>
  <si>
    <r>
      <rPr>
        <sz val="12"/>
        <color rgb="FF0070C0"/>
        <rFont val="標楷體"/>
        <family val="4"/>
        <charset val="136"/>
      </rPr>
      <t>皮蛋瘦肉粥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</si>
  <si>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r>
      <rPr>
        <sz val="12"/>
        <color rgb="FF0070C0"/>
        <rFont val="標楷體"/>
        <family val="4"/>
        <charset val="136"/>
      </rPr>
      <t>麵線羹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</si>
  <si>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r>
      <rPr>
        <sz val="12"/>
        <color rgb="FF0070C0"/>
        <rFont val="標楷體"/>
        <family val="4"/>
        <charset val="136"/>
      </rPr>
      <t>茶葉蛋</t>
    </r>
    <r>
      <rPr>
        <sz val="12"/>
        <color theme="1"/>
        <rFont val="標楷體"/>
        <family val="4"/>
        <charset val="136"/>
      </rPr>
      <t>+羅漢果茶</t>
    </r>
    <phoneticPr fontId="1" type="noConversion"/>
  </si>
  <si>
    <t>太白粉</t>
    <phoneticPr fontId="1" type="noConversion"/>
  </si>
  <si>
    <t>雞腿仁丁</t>
    <phoneticPr fontId="1" type="noConversion"/>
  </si>
  <si>
    <t>綜合滷味+紅棗枸杞茶</t>
    <phoneticPr fontId="1" type="noConversion"/>
  </si>
  <si>
    <t>滷包</t>
    <phoneticPr fontId="1" type="noConversion"/>
  </si>
  <si>
    <t>1小包</t>
    <phoneticPr fontId="1" type="noConversion"/>
  </si>
  <si>
    <r>
      <rPr>
        <sz val="12"/>
        <color rgb="FF0070C0"/>
        <rFont val="標楷體"/>
        <family val="4"/>
        <charset val="136"/>
      </rPr>
      <t>香菇豆薯湯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</si>
  <si>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51+2</t>
    <phoneticPr fontId="1" type="noConversion"/>
  </si>
  <si>
    <t>48+2</t>
    <phoneticPr fontId="1" type="noConversion"/>
  </si>
  <si>
    <t>全麥吐司</t>
    <phoneticPr fontId="1" type="noConversion"/>
  </si>
  <si>
    <t>皮蛋</t>
    <phoneticPr fontId="1" type="noConversion"/>
  </si>
  <si>
    <t>雞蛋</t>
    <phoneticPr fontId="1" type="noConversion"/>
  </si>
  <si>
    <t>白米</t>
    <phoneticPr fontId="1" type="noConversion"/>
  </si>
  <si>
    <t>14顆</t>
    <phoneticPr fontId="1" type="noConversion"/>
  </si>
  <si>
    <r>
      <rPr>
        <sz val="12"/>
        <color rgb="FF0070C0"/>
        <rFont val="標楷體"/>
        <family val="4"/>
        <charset val="136"/>
      </rPr>
      <t>水餃</t>
    </r>
    <r>
      <rPr>
        <sz val="12"/>
        <color theme="1"/>
        <rFont val="標楷體"/>
        <family val="4"/>
        <charset val="136"/>
      </rPr>
      <t>+水果</t>
    </r>
    <phoneticPr fontId="1" type="noConversion"/>
  </si>
  <si>
    <t>芹菜珠</t>
    <phoneticPr fontId="1" type="noConversion"/>
  </si>
  <si>
    <t>豬絞肉</t>
    <phoneticPr fontId="1" type="noConversion"/>
  </si>
  <si>
    <t>3包</t>
    <phoneticPr fontId="1" type="noConversion"/>
  </si>
  <si>
    <t>紅豆</t>
    <phoneticPr fontId="1" type="noConversion"/>
  </si>
  <si>
    <t>紅豆湯圓</t>
    <phoneticPr fontId="1" type="noConversion"/>
  </si>
  <si>
    <t>小湯圓</t>
    <phoneticPr fontId="1" type="noConversion"/>
  </si>
  <si>
    <t>二砂糖</t>
    <phoneticPr fontId="1" type="noConversion"/>
  </si>
  <si>
    <t>4盒</t>
    <phoneticPr fontId="1" type="noConversion"/>
  </si>
  <si>
    <t>紅豆湯圓</t>
    <phoneticPr fontId="1" type="noConversion"/>
  </si>
  <si>
    <t>53份</t>
    <phoneticPr fontId="1" type="noConversion"/>
  </si>
  <si>
    <t>50個</t>
    <phoneticPr fontId="1" type="noConversion"/>
  </si>
  <si>
    <t>50片</t>
    <phoneticPr fontId="1" type="noConversion"/>
  </si>
  <si>
    <t>106個</t>
    <phoneticPr fontId="1" type="noConversion"/>
  </si>
  <si>
    <t>4包</t>
    <phoneticPr fontId="1" type="noConversion"/>
  </si>
  <si>
    <t>香菜</t>
    <phoneticPr fontId="1" type="noConversion"/>
  </si>
  <si>
    <t>薑汁地瓜甜湯</t>
    <phoneticPr fontId="1" type="noConversion"/>
  </si>
  <si>
    <t>黃地瓜</t>
    <phoneticPr fontId="1" type="noConversion"/>
  </si>
  <si>
    <t>薑汁</t>
    <phoneticPr fontId="1" type="noConversion"/>
  </si>
  <si>
    <t>黑糖</t>
    <phoneticPr fontId="1" type="noConversion"/>
  </si>
  <si>
    <t>綠豆薏仁湯</t>
    <phoneticPr fontId="1" type="noConversion"/>
  </si>
  <si>
    <t>糙米</t>
    <phoneticPr fontId="1" type="noConversion"/>
  </si>
  <si>
    <t>0.8(前送)</t>
    <phoneticPr fontId="1" type="noConversion"/>
  </si>
  <si>
    <t>果汁</t>
    <phoneticPr fontId="1" type="noConversion"/>
  </si>
  <si>
    <t>52瓶</t>
    <phoneticPr fontId="1" type="noConversion"/>
  </si>
  <si>
    <t>全麥吐司+海芽薑絲湯</t>
    <phoneticPr fontId="1" type="noConversion"/>
  </si>
  <si>
    <t>海芽薑絲湯</t>
    <phoneticPr fontId="1" type="noConversion"/>
  </si>
  <si>
    <r>
      <t>*</t>
    </r>
    <r>
      <rPr>
        <sz val="12"/>
        <color indexed="8"/>
        <rFont val="標楷體"/>
        <family val="4"/>
        <charset val="136"/>
      </rPr>
      <t xml:space="preserve">備註：
</t>
    </r>
    <r>
      <rPr>
        <sz val="12"/>
        <color indexed="8"/>
        <rFont val="Book Antiqua"/>
        <family val="1"/>
      </rPr>
      <t>1.</t>
    </r>
    <r>
      <rPr>
        <sz val="12"/>
        <color indexed="8"/>
        <rFont val="標楷體"/>
        <family val="4"/>
        <charset val="136"/>
      </rPr>
      <t>早點供應時間</t>
    </r>
    <r>
      <rPr>
        <sz val="12"/>
        <color indexed="8"/>
        <rFont val="Book Antiqua"/>
        <family val="1"/>
      </rPr>
      <t xml:space="preserve"> 09:30-10:00</t>
    </r>
    <r>
      <rPr>
        <sz val="12"/>
        <color indexed="8"/>
        <rFont val="標楷體"/>
        <family val="4"/>
        <charset val="136"/>
      </rPr>
      <t>，午點供應時間</t>
    </r>
    <r>
      <rPr>
        <sz val="12"/>
        <color indexed="8"/>
        <rFont val="Book Antiqua"/>
        <family val="1"/>
      </rPr>
      <t xml:space="preserve"> 14:40-15:10                                                                         </t>
    </r>
    <r>
      <rPr>
        <sz val="12"/>
        <color rgb="FF000000"/>
        <rFont val="Segoe UI Symbol"/>
        <family val="1"/>
      </rPr>
      <t>★</t>
    </r>
    <r>
      <rPr>
        <sz val="12"/>
        <color rgb="FF000000"/>
        <rFont val="標楷體"/>
        <family val="1"/>
        <charset val="136"/>
      </rPr>
      <t>家長簽章：</t>
    </r>
    <r>
      <rPr>
        <sz val="12"/>
        <color indexed="8"/>
        <rFont val="Book Antiqua"/>
        <family val="1"/>
      </rPr>
      <t xml:space="preserve">                          
2.</t>
    </r>
    <r>
      <rPr>
        <sz val="12"/>
        <color indexed="8"/>
        <rFont val="標楷體"/>
        <family val="4"/>
        <charset val="136"/>
      </rPr>
      <t xml:space="preserve">如果幼兒有食物過敏或不能吃的食物，請務必先告知老師。
</t>
    </r>
    <r>
      <rPr>
        <sz val="12"/>
        <color indexed="8"/>
        <rFont val="Book Antiqua"/>
        <family val="1"/>
      </rPr>
      <t>3.</t>
    </r>
    <r>
      <rPr>
        <sz val="12"/>
        <color indexed="8"/>
        <rFont val="標楷體"/>
        <family val="4"/>
        <charset val="136"/>
      </rPr>
      <t>除週三外，每天早點均另外提供一樣季節水果。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因週三午餐已提供水果</t>
    </r>
    <r>
      <rPr>
        <sz val="12"/>
        <color indexed="8"/>
        <rFont val="Book Antiqua"/>
        <family val="1"/>
      </rPr>
      <t>)
4.</t>
    </r>
    <r>
      <rPr>
        <sz val="12"/>
        <color indexed="8"/>
        <rFont val="標楷體"/>
        <family val="4"/>
        <charset val="136"/>
      </rPr>
      <t xml:space="preserve">本點心單得依實際狀況略做修正及調整。
</t>
    </r>
    <r>
      <rPr>
        <sz val="12"/>
        <color indexed="8"/>
        <rFont val="Book Antiqua"/>
        <family val="1"/>
      </rPr>
      <t>5.</t>
    </r>
    <r>
      <rPr>
        <sz val="12"/>
        <color indexed="8"/>
        <rFont val="標楷體"/>
        <family val="4"/>
        <charset val="136"/>
      </rPr>
      <t>每週午餐菜單請見公告欄和中和國小網站</t>
    </r>
    <r>
      <rPr>
        <sz val="12"/>
        <color indexed="8"/>
        <rFont val="Book Antiqua"/>
        <family val="1"/>
      </rPr>
      <t>-</t>
    </r>
    <r>
      <rPr>
        <sz val="12"/>
        <color indexed="8"/>
        <rFont val="標楷體"/>
        <family val="4"/>
        <charset val="136"/>
      </rPr>
      <t>「午餐報報」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連結網址</t>
    </r>
    <r>
      <rPr>
        <sz val="12"/>
        <color indexed="8"/>
        <rFont val="Book Antiqua"/>
        <family val="1"/>
      </rPr>
      <t>- https://jweb.kl.edu.tw/1211)</t>
    </r>
    <r>
      <rPr>
        <sz val="12"/>
        <color indexed="8"/>
        <rFont val="標楷體"/>
        <family val="4"/>
        <charset val="136"/>
      </rPr>
      <t xml:space="preserve">。
</t>
    </r>
    <phoneticPr fontId="2" type="noConversion"/>
  </si>
  <si>
    <t>教保員：</t>
    <phoneticPr fontId="2" type="noConversion"/>
  </si>
  <si>
    <t>生日蛋糕</t>
    <phoneticPr fontId="1" type="noConversion"/>
  </si>
  <si>
    <t>校  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</si>
</sst>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0.0_ "/>
    <numFmt numFmtId="178" formatCode="m/d;@"/>
    <numFmt numFmtId="179" formatCode="0;\-0;;@"/>
    <numFmt numFmtId="180" formatCode="0.0"/>
    <numFmt numFmtId="181" formatCode="#,##0_ ;[Red]\-#,##0\ "/>
  </numFmts>
  <fonts count="3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theme="1"/>
      <name val="Book Antiqua"/>
      <family val="1"/>
    </font>
    <font>
      <b/>
      <sz val="14"/>
      <color theme="1"/>
      <name val="標楷體"/>
      <family val="4"/>
      <charset val="136"/>
    </font>
    <font>
      <sz val="12"/>
      <color theme="1"/>
      <name val="Book Antiqua"/>
      <family val="1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4"/>
      <color theme="1"/>
      <name val="Book Antiqua"/>
      <family val="4"/>
      <charset val="136"/>
    </font>
    <font>
      <sz val="11"/>
      <name val="Book Antiqua"/>
      <family val="1"/>
    </font>
    <font>
      <sz val="11"/>
      <name val="新細明體"/>
      <family val="1"/>
      <charset val="136"/>
    </font>
    <font>
      <sz val="12"/>
      <color rgb="FFFF0000"/>
      <name val="Book Antiqua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Book Antiqua"/>
      <family val="4"/>
    </font>
    <font>
      <b/>
      <sz val="12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Book Antiqua"/>
      <family val="1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8"/>
      <name val="標楷體"/>
      <family val="4"/>
      <charset val="136"/>
    </font>
    <font>
      <sz val="18"/>
      <name val="Book Antiqua"/>
      <family val="1"/>
    </font>
    <font>
      <b/>
      <sz val="18"/>
      <name val="Book Antiqua"/>
      <family val="1"/>
    </font>
    <font>
      <sz val="12"/>
      <color rgb="FF0070C0"/>
      <name val="標楷體"/>
      <family val="4"/>
      <charset val="136"/>
    </font>
    <font>
      <sz val="12"/>
      <color rgb="FF000000"/>
      <name val="Segoe UI Symbol"/>
      <family val="1"/>
    </font>
    <font>
      <sz val="12"/>
      <color rgb="FF000000"/>
      <name val="標楷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4" fillId="0" borderId="0"/>
  </cellStyleXfs>
  <cellXfs count="403">
    <xf numFmtId="0" fontId="0" fillId="0" borderId="0" xfId="0">
      <alignment vertical="center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2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wrapText="1" shrinkToFit="1"/>
    </xf>
    <xf numFmtId="0" fontId="7" fillId="0" borderId="0" xfId="0" applyFont="1">
      <alignment vertical="center"/>
    </xf>
    <xf numFmtId="0" fontId="20" fillId="0" borderId="0" xfId="1" applyFont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0" xfId="1" applyFont="1" applyAlignment="1">
      <alignment horizontal="center" vertical="center" shrinkToFit="1"/>
    </xf>
    <xf numFmtId="0" fontId="19" fillId="0" borderId="0" xfId="1" applyFont="1" applyAlignment="1">
      <alignment vertical="center" wrapText="1" shrinkToFit="1"/>
    </xf>
    <xf numFmtId="0" fontId="19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8" fillId="0" borderId="11" xfId="1" applyFont="1" applyBorder="1" applyAlignment="1">
      <alignment vertical="center" wrapText="1" shrinkToFit="1"/>
    </xf>
    <xf numFmtId="0" fontId="18" fillId="0" borderId="11" xfId="1" applyFont="1" applyBorder="1" applyAlignment="1">
      <alignment vertical="center" shrinkToFit="1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19" xfId="1" applyFont="1" applyBorder="1" applyAlignment="1">
      <alignment horizontal="center" vertical="center" textRotation="255" shrinkToFit="1"/>
    </xf>
    <xf numFmtId="0" fontId="7" fillId="0" borderId="14" xfId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textRotation="255" shrinkToFit="1"/>
    </xf>
    <xf numFmtId="0" fontId="7" fillId="0" borderId="21" xfId="1" applyFont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/>
    </xf>
    <xf numFmtId="179" fontId="7" fillId="4" borderId="21" xfId="0" applyNumberFormat="1" applyFont="1" applyFill="1" applyBorder="1" applyAlignment="1">
      <alignment horizontal="left" vertical="center"/>
    </xf>
    <xf numFmtId="179" fontId="7" fillId="4" borderId="2" xfId="0" applyNumberFormat="1" applyFont="1" applyFill="1" applyBorder="1" applyAlignment="1">
      <alignment horizontal="left" vertical="center"/>
    </xf>
    <xf numFmtId="179" fontId="7" fillId="4" borderId="5" xfId="0" applyNumberFormat="1" applyFont="1" applyFill="1" applyBorder="1" applyAlignment="1">
      <alignment horizontal="left" vertical="center"/>
    </xf>
    <xf numFmtId="179" fontId="13" fillId="4" borderId="0" xfId="0" applyNumberFormat="1" applyFont="1" applyFill="1">
      <alignment vertical="center"/>
    </xf>
    <xf numFmtId="0" fontId="0" fillId="0" borderId="1" xfId="0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shrinkToFit="1"/>
    </xf>
    <xf numFmtId="0" fontId="14" fillId="0" borderId="1" xfId="7" applyFont="1" applyBorder="1" applyAlignment="1">
      <alignment horizontal="left" vertical="center"/>
    </xf>
    <xf numFmtId="49" fontId="14" fillId="0" borderId="1" xfId="7" applyNumberFormat="1" applyFont="1" applyBorder="1" applyAlignment="1">
      <alignment horizontal="left" vertical="center"/>
    </xf>
    <xf numFmtId="4" fontId="14" fillId="0" borderId="1" xfId="7" applyNumberFormat="1" applyFont="1" applyBorder="1" applyAlignment="1">
      <alignment horizontal="left" vertical="center"/>
    </xf>
    <xf numFmtId="49" fontId="14" fillId="2" borderId="1" xfId="7" applyNumberFormat="1" applyFont="1" applyFill="1" applyBorder="1" applyAlignment="1">
      <alignment horizontal="left" vertical="center"/>
    </xf>
    <xf numFmtId="49" fontId="14" fillId="0" borderId="1" xfId="7" applyNumberFormat="1" applyFont="1" applyBorder="1" applyAlignment="1">
      <alignment vertical="center"/>
    </xf>
    <xf numFmtId="0" fontId="14" fillId="0" borderId="1" xfId="7" applyFont="1" applyBorder="1" applyAlignment="1">
      <alignment vertical="center"/>
    </xf>
    <xf numFmtId="0" fontId="14" fillId="2" borderId="1" xfId="7" applyFont="1" applyFill="1" applyBorder="1" applyAlignment="1">
      <alignment horizontal="left" vertical="center"/>
    </xf>
    <xf numFmtId="0" fontId="14" fillId="0" borderId="1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5" borderId="1" xfId="7" applyFont="1" applyFill="1" applyBorder="1" applyAlignment="1">
      <alignment horizontal="left" vertical="center"/>
    </xf>
    <xf numFmtId="49" fontId="14" fillId="5" borderId="1" xfId="7" applyNumberFormat="1" applyFont="1" applyFill="1" applyBorder="1" applyAlignment="1">
      <alignment horizontal="left" vertical="center"/>
    </xf>
    <xf numFmtId="0" fontId="14" fillId="0" borderId="1" xfId="7" applyFont="1" applyBorder="1"/>
    <xf numFmtId="0" fontId="7" fillId="0" borderId="1" xfId="1" applyFont="1" applyBorder="1" applyAlignment="1">
      <alignment vertical="center" textRotation="255" shrinkToFit="1"/>
    </xf>
    <xf numFmtId="0" fontId="17" fillId="0" borderId="1" xfId="1" applyFont="1" applyBorder="1" applyAlignment="1">
      <alignment vertical="center" textRotation="255" wrapText="1" shrinkToFit="1"/>
    </xf>
    <xf numFmtId="0" fontId="17" fillId="0" borderId="1" xfId="1" applyFont="1" applyBorder="1" applyAlignment="1">
      <alignment horizontal="center" vertical="center" textRotation="255" wrapText="1" shrinkToFit="1"/>
    </xf>
    <xf numFmtId="49" fontId="14" fillId="6" borderId="1" xfId="7" applyNumberFormat="1" applyFont="1" applyFill="1" applyBorder="1" applyAlignment="1">
      <alignment horizontal="left" vertical="center"/>
    </xf>
    <xf numFmtId="49" fontId="14" fillId="6" borderId="1" xfId="7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left" vertical="center"/>
    </xf>
    <xf numFmtId="180" fontId="14" fillId="0" borderId="1" xfId="7" applyNumberFormat="1" applyFont="1" applyBorder="1" applyAlignment="1">
      <alignment horizontal="center" vertical="center"/>
    </xf>
    <xf numFmtId="0" fontId="14" fillId="0" borderId="1" xfId="7" applyFont="1" applyBorder="1" applyAlignment="1">
      <alignment vertical="center" textRotation="255"/>
    </xf>
    <xf numFmtId="0" fontId="14" fillId="0" borderId="8" xfId="7" applyFont="1" applyBorder="1" applyAlignment="1">
      <alignment vertical="center" textRotation="255"/>
    </xf>
    <xf numFmtId="0" fontId="14" fillId="0" borderId="8" xfId="7" applyFont="1" applyBorder="1" applyAlignment="1">
      <alignment horizontal="center" vertical="center"/>
    </xf>
    <xf numFmtId="0" fontId="14" fillId="0" borderId="15" xfId="7" applyFont="1" applyBorder="1" applyAlignment="1">
      <alignment horizontal="center" vertical="center"/>
    </xf>
    <xf numFmtId="0" fontId="14" fillId="0" borderId="8" xfId="7" applyFont="1" applyBorder="1" applyAlignment="1">
      <alignment vertical="center"/>
    </xf>
    <xf numFmtId="180" fontId="14" fillId="0" borderId="8" xfId="7" applyNumberFormat="1" applyFont="1" applyBorder="1" applyAlignment="1">
      <alignment horizontal="center" vertical="center"/>
    </xf>
    <xf numFmtId="0" fontId="14" fillId="0" borderId="26" xfId="7" applyFont="1" applyBorder="1" applyAlignment="1">
      <alignment horizontal="center" vertical="center"/>
    </xf>
    <xf numFmtId="0" fontId="14" fillId="0" borderId="27" xfId="7" applyFont="1" applyBorder="1" applyAlignment="1">
      <alignment horizontal="center" vertical="center"/>
    </xf>
    <xf numFmtId="0" fontId="14" fillId="0" borderId="26" xfId="7" applyFont="1" applyBorder="1"/>
    <xf numFmtId="0" fontId="14" fillId="0" borderId="28" xfId="7" applyFont="1" applyBorder="1" applyAlignment="1">
      <alignment horizontal="center" vertical="center"/>
    </xf>
    <xf numFmtId="0" fontId="14" fillId="0" borderId="29" xfId="7" applyFont="1" applyBorder="1" applyAlignment="1">
      <alignment horizontal="center" vertical="center"/>
    </xf>
    <xf numFmtId="0" fontId="7" fillId="0" borderId="26" xfId="1" applyFont="1" applyBorder="1" applyAlignment="1">
      <alignment vertical="center" textRotation="255" shrinkToFit="1"/>
    </xf>
    <xf numFmtId="0" fontId="17" fillId="0" borderId="27" xfId="1" applyFont="1" applyBorder="1" applyAlignment="1">
      <alignment vertical="center" textRotation="255" wrapText="1" shrinkToFit="1"/>
    </xf>
    <xf numFmtId="0" fontId="7" fillId="0" borderId="26" xfId="1" applyFont="1" applyBorder="1" applyAlignment="1">
      <alignment horizontal="center" vertical="center" textRotation="255" shrinkToFit="1"/>
    </xf>
    <xf numFmtId="0" fontId="17" fillId="0" borderId="27" xfId="1" applyFont="1" applyBorder="1" applyAlignment="1">
      <alignment horizontal="center" vertical="center" textRotation="255" wrapText="1" shrinkToFit="1"/>
    </xf>
    <xf numFmtId="0" fontId="7" fillId="0" borderId="30" xfId="1" applyFont="1" applyBorder="1" applyAlignment="1">
      <alignment vertical="center" textRotation="255" shrinkToFit="1"/>
    </xf>
    <xf numFmtId="0" fontId="7" fillId="0" borderId="31" xfId="1" applyFont="1" applyBorder="1" applyAlignment="1">
      <alignment vertical="center" textRotation="255" shrinkToFit="1"/>
    </xf>
    <xf numFmtId="0" fontId="17" fillId="0" borderId="31" xfId="1" applyFont="1" applyBorder="1" applyAlignment="1">
      <alignment vertical="center" textRotation="255" wrapText="1" shrinkToFit="1"/>
    </xf>
    <xf numFmtId="0" fontId="17" fillId="0" borderId="32" xfId="1" applyFont="1" applyBorder="1" applyAlignment="1">
      <alignment vertical="center" textRotation="255" wrapText="1" shrinkToFit="1"/>
    </xf>
    <xf numFmtId="0" fontId="7" fillId="4" borderId="23" xfId="1" applyFont="1" applyFill="1" applyBorder="1" applyAlignment="1">
      <alignment vertical="center" textRotation="255" shrinkToFit="1"/>
    </xf>
    <xf numFmtId="0" fontId="7" fillId="4" borderId="24" xfId="1" applyFont="1" applyFill="1" applyBorder="1" applyAlignment="1">
      <alignment vertical="center" textRotation="255" shrinkToFit="1"/>
    </xf>
    <xf numFmtId="0" fontId="17" fillId="4" borderId="24" xfId="1" applyFont="1" applyFill="1" applyBorder="1" applyAlignment="1">
      <alignment vertical="center" textRotation="255" wrapText="1" shrinkToFit="1"/>
    </xf>
    <xf numFmtId="0" fontId="17" fillId="4" borderId="25" xfId="1" applyFont="1" applyFill="1" applyBorder="1" applyAlignment="1">
      <alignment vertical="center" textRotation="255" wrapText="1" shrinkToFit="1"/>
    </xf>
    <xf numFmtId="0" fontId="7" fillId="0" borderId="33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 shrinkToFit="1"/>
    </xf>
    <xf numFmtId="0" fontId="18" fillId="0" borderId="21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center" shrinkToFit="1"/>
    </xf>
    <xf numFmtId="0" fontId="18" fillId="0" borderId="5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7" fillId="3" borderId="2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/>
    <xf numFmtId="0" fontId="21" fillId="0" borderId="1" xfId="0" applyFont="1" applyBorder="1" applyAlignment="1"/>
    <xf numFmtId="0" fontId="7" fillId="0" borderId="34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shrinkToFit="1"/>
    </xf>
    <xf numFmtId="0" fontId="20" fillId="0" borderId="2" xfId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9" xfId="7" applyFont="1" applyBorder="1"/>
    <xf numFmtId="0" fontId="14" fillId="0" borderId="12" xfId="7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255" shrinkToFit="1"/>
    </xf>
    <xf numFmtId="0" fontId="6" fillId="0" borderId="40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20" fillId="0" borderId="64" xfId="1" applyFont="1" applyBorder="1" applyAlignment="1">
      <alignment horizontal="center" vertical="center" shrinkToFit="1"/>
    </xf>
    <xf numFmtId="0" fontId="20" fillId="0" borderId="38" xfId="1" applyFont="1" applyBorder="1" applyAlignment="1">
      <alignment horizontal="center" vertical="center" shrinkToFit="1"/>
    </xf>
    <xf numFmtId="0" fontId="20" fillId="0" borderId="66" xfId="1" applyFont="1" applyBorder="1" applyAlignment="1">
      <alignment horizontal="center" vertical="center" shrinkToFit="1"/>
    </xf>
    <xf numFmtId="0" fontId="20" fillId="0" borderId="67" xfId="1" applyFont="1" applyBorder="1" applyAlignment="1">
      <alignment horizontal="center" vertical="center" shrinkToFit="1"/>
    </xf>
    <xf numFmtId="181" fontId="10" fillId="0" borderId="0" xfId="1" applyNumberFormat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left" vertical="center" shrinkToFit="1"/>
    </xf>
    <xf numFmtId="0" fontId="29" fillId="0" borderId="0" xfId="1" applyFont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35" xfId="0" applyNumberFormat="1" applyFont="1" applyFill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176" fontId="32" fillId="0" borderId="1" xfId="0" applyNumberFormat="1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32" fillId="0" borderId="5" xfId="1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2" borderId="70" xfId="0" applyNumberFormat="1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" vertical="center"/>
    </xf>
    <xf numFmtId="0" fontId="25" fillId="0" borderId="37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177" fontId="7" fillId="2" borderId="51" xfId="1" applyNumberFormat="1" applyFont="1" applyFill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41" xfId="1" applyFont="1" applyBorder="1" applyAlignment="1">
      <alignment horizontal="center" vertical="center" textRotation="255"/>
    </xf>
    <xf numFmtId="177" fontId="7" fillId="2" borderId="57" xfId="1" applyNumberFormat="1" applyFont="1" applyFill="1" applyBorder="1" applyAlignment="1">
      <alignment horizontal="center" vertical="center" shrinkToFit="1"/>
    </xf>
    <xf numFmtId="177" fontId="7" fillId="2" borderId="14" xfId="1" applyNumberFormat="1" applyFont="1" applyFill="1" applyBorder="1" applyAlignment="1">
      <alignment horizontal="center" vertical="center" shrinkToFit="1"/>
    </xf>
    <xf numFmtId="177" fontId="7" fillId="2" borderId="60" xfId="1" applyNumberFormat="1" applyFont="1" applyFill="1" applyBorder="1" applyAlignment="1">
      <alignment horizontal="center" vertical="center" shrinkToFit="1"/>
    </xf>
    <xf numFmtId="176" fontId="7" fillId="0" borderId="53" xfId="1" applyNumberFormat="1" applyFont="1" applyBorder="1" applyAlignment="1">
      <alignment horizontal="center" vertical="center" textRotation="255"/>
    </xf>
    <xf numFmtId="176" fontId="7" fillId="0" borderId="11" xfId="1" applyNumberFormat="1" applyFont="1" applyBorder="1" applyAlignment="1">
      <alignment horizontal="center" vertical="center" textRotation="255"/>
    </xf>
    <xf numFmtId="176" fontId="7" fillId="0" borderId="61" xfId="1" applyNumberFormat="1" applyFont="1" applyBorder="1" applyAlignment="1">
      <alignment horizontal="center" vertical="center" textRotation="255"/>
    </xf>
    <xf numFmtId="0" fontId="7" fillId="0" borderId="50" xfId="1" applyFont="1" applyBorder="1" applyAlignment="1">
      <alignment horizontal="center" vertical="center" textRotation="255"/>
    </xf>
    <xf numFmtId="0" fontId="7" fillId="0" borderId="56" xfId="1" applyFont="1" applyBorder="1" applyAlignment="1">
      <alignment horizontal="center" vertical="center" textRotation="255"/>
    </xf>
    <xf numFmtId="177" fontId="7" fillId="2" borderId="50" xfId="1" applyNumberFormat="1" applyFont="1" applyFill="1" applyBorder="1" applyAlignment="1">
      <alignment horizontal="center" vertical="center" shrinkToFit="1"/>
    </xf>
    <xf numFmtId="177" fontId="7" fillId="2" borderId="5" xfId="1" applyNumberFormat="1" applyFont="1" applyFill="1" applyBorder="1" applyAlignment="1">
      <alignment horizontal="center" vertical="center" shrinkToFit="1"/>
    </xf>
    <xf numFmtId="177" fontId="7" fillId="2" borderId="56" xfId="1" applyNumberFormat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textRotation="255"/>
    </xf>
    <xf numFmtId="0" fontId="7" fillId="0" borderId="61" xfId="1" applyFont="1" applyBorder="1" applyAlignment="1">
      <alignment horizontal="center" vertical="center" textRotation="255"/>
    </xf>
    <xf numFmtId="176" fontId="7" fillId="0" borderId="44" xfId="1" applyNumberFormat="1" applyFont="1" applyBorder="1" applyAlignment="1">
      <alignment horizontal="center" vertical="center" textRotation="255"/>
    </xf>
    <xf numFmtId="176" fontId="7" fillId="0" borderId="39" xfId="1" applyNumberFormat="1" applyFont="1" applyBorder="1" applyAlignment="1">
      <alignment horizontal="center" vertical="center" textRotation="255"/>
    </xf>
    <xf numFmtId="176" fontId="7" fillId="0" borderId="54" xfId="1" applyNumberFormat="1" applyFont="1" applyBorder="1" applyAlignment="1">
      <alignment horizontal="center" vertical="center" textRotation="255"/>
    </xf>
    <xf numFmtId="176" fontId="7" fillId="0" borderId="40" xfId="1" applyNumberFormat="1" applyFont="1" applyBorder="1" applyAlignment="1">
      <alignment horizontal="center" vertical="center" textRotation="255"/>
    </xf>
    <xf numFmtId="176" fontId="7" fillId="0" borderId="48" xfId="1" applyNumberFormat="1" applyFont="1" applyBorder="1" applyAlignment="1">
      <alignment horizontal="center" vertical="center" textRotation="255"/>
    </xf>
    <xf numFmtId="176" fontId="7" fillId="0" borderId="49" xfId="1" applyNumberFormat="1" applyFont="1" applyBorder="1" applyAlignment="1">
      <alignment horizontal="center" vertical="center" textRotation="255"/>
    </xf>
    <xf numFmtId="0" fontId="6" fillId="0" borderId="62" xfId="1" applyFont="1" applyBorder="1" applyAlignment="1">
      <alignment horizontal="left" vertical="center" wrapText="1" shrinkToFit="1"/>
    </xf>
    <xf numFmtId="0" fontId="6" fillId="0" borderId="63" xfId="1" applyFont="1" applyBorder="1" applyAlignment="1">
      <alignment horizontal="left" vertical="center" wrapText="1" shrinkToFit="1"/>
    </xf>
    <xf numFmtId="0" fontId="6" fillId="0" borderId="64" xfId="1" applyFont="1" applyBorder="1" applyAlignment="1">
      <alignment horizontal="left" vertical="center" wrapText="1" shrinkToFit="1"/>
    </xf>
    <xf numFmtId="0" fontId="6" fillId="0" borderId="37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6" fillId="0" borderId="38" xfId="1" applyFont="1" applyBorder="1" applyAlignment="1">
      <alignment horizontal="left" vertical="center" wrapText="1" shrinkToFit="1"/>
    </xf>
    <xf numFmtId="0" fontId="6" fillId="0" borderId="65" xfId="1" applyFont="1" applyBorder="1" applyAlignment="1">
      <alignment horizontal="left" vertical="center" wrapText="1" shrinkToFit="1"/>
    </xf>
    <xf numFmtId="0" fontId="6" fillId="0" borderId="66" xfId="1" applyFont="1" applyBorder="1" applyAlignment="1">
      <alignment horizontal="left" vertical="center" wrapText="1" shrinkToFit="1"/>
    </xf>
    <xf numFmtId="0" fontId="6" fillId="0" borderId="67" xfId="1" applyFont="1" applyBorder="1" applyAlignment="1">
      <alignment horizontal="left" vertical="center" wrapText="1" shrinkToFit="1"/>
    </xf>
    <xf numFmtId="0" fontId="28" fillId="0" borderId="63" xfId="1" applyFont="1" applyBorder="1" applyAlignment="1">
      <alignment vertical="center" shrinkToFit="1"/>
    </xf>
    <xf numFmtId="0" fontId="29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 shrinkToFit="1"/>
    </xf>
    <xf numFmtId="0" fontId="30" fillId="0" borderId="0" xfId="1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7" fillId="0" borderId="18" xfId="1" applyNumberFormat="1" applyFont="1" applyBorder="1" applyAlignment="1">
      <alignment horizontal="center" vertical="center" textRotation="255"/>
    </xf>
    <xf numFmtId="176" fontId="7" fillId="0" borderId="5" xfId="1" applyNumberFormat="1" applyFont="1" applyBorder="1" applyAlignment="1">
      <alignment horizontal="center" vertical="center" textRotation="255"/>
    </xf>
    <xf numFmtId="176" fontId="7" fillId="0" borderId="2" xfId="1" applyNumberFormat="1" applyFont="1" applyBorder="1" applyAlignment="1">
      <alignment horizontal="center" vertical="center" textRotation="255"/>
    </xf>
    <xf numFmtId="0" fontId="7" fillId="0" borderId="18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77" fontId="7" fillId="0" borderId="18" xfId="4" applyNumberFormat="1" applyFont="1" applyBorder="1" applyAlignment="1">
      <alignment horizontal="center" vertical="center" shrinkToFit="1"/>
    </xf>
    <xf numFmtId="177" fontId="7" fillId="0" borderId="5" xfId="4" applyNumberFormat="1" applyFont="1" applyBorder="1" applyAlignment="1">
      <alignment horizontal="center" vertical="center" shrinkToFit="1"/>
    </xf>
    <xf numFmtId="177" fontId="7" fillId="0" borderId="2" xfId="4" applyNumberFormat="1" applyFont="1" applyBorder="1" applyAlignment="1">
      <alignment horizontal="center" vertical="center" shrinkToFit="1"/>
    </xf>
    <xf numFmtId="177" fontId="7" fillId="0" borderId="21" xfId="4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7" fillId="0" borderId="0" xfId="1" applyFont="1" applyAlignment="1">
      <alignment horizontal="center" vertical="center" textRotation="255" shrinkToFit="1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3" xfId="1" applyFont="1" applyBorder="1" applyAlignment="1">
      <alignment horizontal="center" vertical="center" textRotation="255" shrinkToFit="1"/>
    </xf>
    <xf numFmtId="0" fontId="7" fillId="0" borderId="12" xfId="1" applyFont="1" applyBorder="1" applyAlignment="1">
      <alignment horizontal="center" vertical="center" textRotation="255" shrinkToFit="1"/>
    </xf>
    <xf numFmtId="0" fontId="17" fillId="0" borderId="4" xfId="1" applyFont="1" applyBorder="1" applyAlignment="1">
      <alignment horizontal="center" vertical="center" textRotation="255" wrapText="1" shrinkToFit="1"/>
    </xf>
    <xf numFmtId="0" fontId="17" fillId="0" borderId="5" xfId="1" applyFont="1" applyBorder="1" applyAlignment="1">
      <alignment horizontal="center" vertical="center" textRotation="255" wrapText="1" shrinkToFit="1"/>
    </xf>
    <xf numFmtId="0" fontId="17" fillId="0" borderId="2" xfId="1" applyFont="1" applyBorder="1" applyAlignment="1">
      <alignment horizontal="center" vertical="center" textRotation="255" wrapText="1" shrinkToFit="1"/>
    </xf>
    <xf numFmtId="0" fontId="7" fillId="0" borderId="1" xfId="1" applyFont="1" applyBorder="1" applyAlignment="1">
      <alignment horizontal="center" vertical="center" textRotation="255" shrinkToFit="1"/>
    </xf>
    <xf numFmtId="177" fontId="7" fillId="2" borderId="21" xfId="4" applyNumberFormat="1" applyFont="1" applyFill="1" applyBorder="1" applyAlignment="1">
      <alignment horizontal="center" vertical="center" shrinkToFit="1"/>
    </xf>
    <xf numFmtId="177" fontId="7" fillId="2" borderId="5" xfId="4" applyNumberFormat="1" applyFont="1" applyFill="1" applyBorder="1" applyAlignment="1">
      <alignment horizontal="center" vertical="center" shrinkToFit="1"/>
    </xf>
    <xf numFmtId="177" fontId="7" fillId="2" borderId="2" xfId="4" applyNumberFormat="1" applyFont="1" applyFill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/>
    <xf numFmtId="0" fontId="7" fillId="0" borderId="14" xfId="1" applyFont="1" applyBorder="1" applyAlignment="1">
      <alignment horizontal="center" vertical="center" textRotation="255" shrinkToFit="1"/>
    </xf>
    <xf numFmtId="0" fontId="7" fillId="0" borderId="15" xfId="1" applyFont="1" applyBorder="1" applyAlignment="1">
      <alignment horizontal="center" vertical="center" textRotation="255" shrinkToFit="1"/>
    </xf>
    <xf numFmtId="179" fontId="7" fillId="0" borderId="21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center" vertical="center"/>
    </xf>
    <xf numFmtId="179" fontId="7" fillId="2" borderId="4" xfId="1" applyNumberFormat="1" applyFont="1" applyFill="1" applyBorder="1" applyAlignment="1">
      <alignment horizontal="center" vertical="center" shrinkToFit="1"/>
    </xf>
    <xf numFmtId="179" fontId="7" fillId="2" borderId="5" xfId="1" applyNumberFormat="1" applyFont="1" applyFill="1" applyBorder="1" applyAlignment="1">
      <alignment horizontal="center" vertical="center" shrinkToFit="1"/>
    </xf>
    <xf numFmtId="179" fontId="7" fillId="2" borderId="2" xfId="1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/>
    </xf>
    <xf numFmtId="179" fontId="7" fillId="0" borderId="4" xfId="1" applyNumberFormat="1" applyFont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/>
    <xf numFmtId="0" fontId="16" fillId="0" borderId="0" xfId="1" applyFont="1" applyAlignment="1">
      <alignment horizontal="left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32" fillId="0" borderId="4" xfId="1" applyFont="1" applyBorder="1" applyAlignment="1">
      <alignment horizontal="center" vertical="center" shrinkToFit="1"/>
    </xf>
    <xf numFmtId="0" fontId="32" fillId="0" borderId="5" xfId="1" applyFont="1" applyBorder="1" applyAlignment="1">
      <alignment horizontal="center" vertical="center" shrinkToFit="1"/>
    </xf>
    <xf numFmtId="0" fontId="32" fillId="0" borderId="2" xfId="1" applyFont="1" applyBorder="1" applyAlignment="1">
      <alignment horizontal="center" vertical="center" shrinkToFit="1"/>
    </xf>
    <xf numFmtId="179" fontId="32" fillId="2" borderId="4" xfId="1" applyNumberFormat="1" applyFont="1" applyFill="1" applyBorder="1" applyAlignment="1">
      <alignment horizontal="center" vertical="center" shrinkToFit="1"/>
    </xf>
    <xf numFmtId="179" fontId="32" fillId="2" borderId="5" xfId="1" applyNumberFormat="1" applyFont="1" applyFill="1" applyBorder="1" applyAlignment="1">
      <alignment horizontal="center" vertical="center" shrinkToFit="1"/>
    </xf>
    <xf numFmtId="179" fontId="32" fillId="2" borderId="2" xfId="1" applyNumberFormat="1" applyFont="1" applyFill="1" applyBorder="1" applyAlignment="1">
      <alignment horizontal="center" vertical="center" shrinkToFit="1"/>
    </xf>
    <xf numFmtId="179" fontId="7" fillId="2" borderId="21" xfId="1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Border="1" applyAlignment="1">
      <alignment horizontal="center" vertical="center"/>
    </xf>
    <xf numFmtId="179" fontId="32" fillId="0" borderId="5" xfId="0" applyNumberFormat="1" applyFont="1" applyBorder="1" applyAlignment="1">
      <alignment horizontal="center" vertical="center"/>
    </xf>
    <xf numFmtId="179" fontId="32" fillId="0" borderId="2" xfId="0" applyNumberFormat="1" applyFont="1" applyBorder="1" applyAlignment="1">
      <alignment horizontal="center" vertical="center"/>
    </xf>
    <xf numFmtId="179" fontId="32" fillId="2" borderId="21" xfId="1" applyNumberFormat="1" applyFont="1" applyFill="1" applyBorder="1" applyAlignment="1">
      <alignment horizontal="center" vertical="center" shrinkToFit="1"/>
    </xf>
    <xf numFmtId="179" fontId="32" fillId="0" borderId="21" xfId="0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 shrinkToFit="1"/>
    </xf>
    <xf numFmtId="0" fontId="7" fillId="7" borderId="5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</cellXfs>
  <cellStyles count="8">
    <cellStyle name="一般" xfId="0" builtinId="0"/>
    <cellStyle name="一般 14" xfId="3" xr:uid="{00000000-0005-0000-0000-000001000000}"/>
    <cellStyle name="一般 2" xfId="4" xr:uid="{00000000-0005-0000-0000-000002000000}"/>
    <cellStyle name="一般 3" xfId="2" xr:uid="{00000000-0005-0000-0000-000003000000}"/>
    <cellStyle name="一般 3 2" xfId="1" xr:uid="{00000000-0005-0000-0000-000004000000}"/>
    <cellStyle name="一般 3 2 2" xfId="5" xr:uid="{00000000-0005-0000-0000-000005000000}"/>
    <cellStyle name="一般 4" xfId="6" xr:uid="{00000000-0005-0000-0000-000006000000}"/>
    <cellStyle name="一般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6"/>
  <sheetViews>
    <sheetView tabSelected="1" zoomScale="80" zoomScaleNormal="80" workbookViewId="0">
      <selection activeCell="A69" sqref="A69:U72"/>
    </sheetView>
  </sheetViews>
  <sheetFormatPr defaultRowHeight="15.75"/>
  <cols>
    <col min="1" max="3" width="3.125" style="2" customWidth="1"/>
    <col min="4" max="4" width="16.625" style="2" customWidth="1"/>
    <col min="5" max="5" width="14.125" style="2" customWidth="1"/>
    <col min="6" max="7" width="3.125" style="2" customWidth="1"/>
    <col min="8" max="8" width="16.625" style="2" customWidth="1"/>
    <col min="9" max="9" width="14.125" style="2" customWidth="1"/>
    <col min="10" max="11" width="3.125" style="2" customWidth="1"/>
    <col min="12" max="12" width="16.625" style="2" customWidth="1"/>
    <col min="13" max="13" width="14.125" style="2" customWidth="1"/>
    <col min="14" max="15" width="3.125" style="2" customWidth="1"/>
    <col min="16" max="16" width="16.625" style="2" customWidth="1"/>
    <col min="17" max="17" width="14.125" style="2" customWidth="1"/>
    <col min="18" max="19" width="3.125" style="2" customWidth="1"/>
    <col min="20" max="20" width="16.625" style="2" customWidth="1"/>
    <col min="21" max="21" width="14.125" style="2" customWidth="1"/>
    <col min="22" max="22" width="3.5" style="2" customWidth="1"/>
    <col min="23" max="23" width="3.125" style="2" customWidth="1"/>
    <col min="24" max="24" width="16.625" style="2" customWidth="1"/>
    <col min="25" max="25" width="13.75" style="2" customWidth="1"/>
    <col min="26" max="256" width="9" style="2"/>
    <col min="257" max="259" width="3.125" style="2" customWidth="1"/>
    <col min="260" max="260" width="16.625" style="2" customWidth="1"/>
    <col min="261" max="261" width="14.125" style="2" customWidth="1"/>
    <col min="262" max="263" width="3.125" style="2" customWidth="1"/>
    <col min="264" max="264" width="16.625" style="2" customWidth="1"/>
    <col min="265" max="265" width="14.125" style="2" customWidth="1"/>
    <col min="266" max="267" width="3.125" style="2" customWidth="1"/>
    <col min="268" max="268" width="16.625" style="2" customWidth="1"/>
    <col min="269" max="269" width="14.125" style="2" customWidth="1"/>
    <col min="270" max="271" width="3.125" style="2" customWidth="1"/>
    <col min="272" max="272" width="16.625" style="2" customWidth="1"/>
    <col min="273" max="273" width="14.125" style="2" customWidth="1"/>
    <col min="274" max="275" width="3.125" style="2" customWidth="1"/>
    <col min="276" max="276" width="16.625" style="2" customWidth="1"/>
    <col min="277" max="277" width="14.125" style="2" customWidth="1"/>
    <col min="278" max="278" width="3.5" style="2" customWidth="1"/>
    <col min="279" max="279" width="3.125" style="2" customWidth="1"/>
    <col min="280" max="280" width="16.625" style="2" customWidth="1"/>
    <col min="281" max="281" width="13.75" style="2" customWidth="1"/>
    <col min="282" max="512" width="9" style="2"/>
    <col min="513" max="515" width="3.125" style="2" customWidth="1"/>
    <col min="516" max="516" width="16.625" style="2" customWidth="1"/>
    <col min="517" max="517" width="14.125" style="2" customWidth="1"/>
    <col min="518" max="519" width="3.125" style="2" customWidth="1"/>
    <col min="520" max="520" width="16.625" style="2" customWidth="1"/>
    <col min="521" max="521" width="14.125" style="2" customWidth="1"/>
    <col min="522" max="523" width="3.125" style="2" customWidth="1"/>
    <col min="524" max="524" width="16.625" style="2" customWidth="1"/>
    <col min="525" max="525" width="14.125" style="2" customWidth="1"/>
    <col min="526" max="527" width="3.125" style="2" customWidth="1"/>
    <col min="528" max="528" width="16.625" style="2" customWidth="1"/>
    <col min="529" max="529" width="14.125" style="2" customWidth="1"/>
    <col min="530" max="531" width="3.125" style="2" customWidth="1"/>
    <col min="532" max="532" width="16.625" style="2" customWidth="1"/>
    <col min="533" max="533" width="14.125" style="2" customWidth="1"/>
    <col min="534" max="534" width="3.5" style="2" customWidth="1"/>
    <col min="535" max="535" width="3.125" style="2" customWidth="1"/>
    <col min="536" max="536" width="16.625" style="2" customWidth="1"/>
    <col min="537" max="537" width="13.75" style="2" customWidth="1"/>
    <col min="538" max="768" width="9" style="2"/>
    <col min="769" max="771" width="3.125" style="2" customWidth="1"/>
    <col min="772" max="772" width="16.625" style="2" customWidth="1"/>
    <col min="773" max="773" width="14.125" style="2" customWidth="1"/>
    <col min="774" max="775" width="3.125" style="2" customWidth="1"/>
    <col min="776" max="776" width="16.625" style="2" customWidth="1"/>
    <col min="777" max="777" width="14.125" style="2" customWidth="1"/>
    <col min="778" max="779" width="3.125" style="2" customWidth="1"/>
    <col min="780" max="780" width="16.625" style="2" customWidth="1"/>
    <col min="781" max="781" width="14.125" style="2" customWidth="1"/>
    <col min="782" max="783" width="3.125" style="2" customWidth="1"/>
    <col min="784" max="784" width="16.625" style="2" customWidth="1"/>
    <col min="785" max="785" width="14.125" style="2" customWidth="1"/>
    <col min="786" max="787" width="3.125" style="2" customWidth="1"/>
    <col min="788" max="788" width="16.625" style="2" customWidth="1"/>
    <col min="789" max="789" width="14.125" style="2" customWidth="1"/>
    <col min="790" max="790" width="3.5" style="2" customWidth="1"/>
    <col min="791" max="791" width="3.125" style="2" customWidth="1"/>
    <col min="792" max="792" width="16.625" style="2" customWidth="1"/>
    <col min="793" max="793" width="13.75" style="2" customWidth="1"/>
    <col min="794" max="1024" width="9" style="2"/>
    <col min="1025" max="1027" width="3.125" style="2" customWidth="1"/>
    <col min="1028" max="1028" width="16.625" style="2" customWidth="1"/>
    <col min="1029" max="1029" width="14.125" style="2" customWidth="1"/>
    <col min="1030" max="1031" width="3.125" style="2" customWidth="1"/>
    <col min="1032" max="1032" width="16.625" style="2" customWidth="1"/>
    <col min="1033" max="1033" width="14.125" style="2" customWidth="1"/>
    <col min="1034" max="1035" width="3.125" style="2" customWidth="1"/>
    <col min="1036" max="1036" width="16.625" style="2" customWidth="1"/>
    <col min="1037" max="1037" width="14.125" style="2" customWidth="1"/>
    <col min="1038" max="1039" width="3.125" style="2" customWidth="1"/>
    <col min="1040" max="1040" width="16.625" style="2" customWidth="1"/>
    <col min="1041" max="1041" width="14.125" style="2" customWidth="1"/>
    <col min="1042" max="1043" width="3.125" style="2" customWidth="1"/>
    <col min="1044" max="1044" width="16.625" style="2" customWidth="1"/>
    <col min="1045" max="1045" width="14.125" style="2" customWidth="1"/>
    <col min="1046" max="1046" width="3.5" style="2" customWidth="1"/>
    <col min="1047" max="1047" width="3.125" style="2" customWidth="1"/>
    <col min="1048" max="1048" width="16.625" style="2" customWidth="1"/>
    <col min="1049" max="1049" width="13.75" style="2" customWidth="1"/>
    <col min="1050" max="1280" width="9" style="2"/>
    <col min="1281" max="1283" width="3.125" style="2" customWidth="1"/>
    <col min="1284" max="1284" width="16.625" style="2" customWidth="1"/>
    <col min="1285" max="1285" width="14.125" style="2" customWidth="1"/>
    <col min="1286" max="1287" width="3.125" style="2" customWidth="1"/>
    <col min="1288" max="1288" width="16.625" style="2" customWidth="1"/>
    <col min="1289" max="1289" width="14.125" style="2" customWidth="1"/>
    <col min="1290" max="1291" width="3.125" style="2" customWidth="1"/>
    <col min="1292" max="1292" width="16.625" style="2" customWidth="1"/>
    <col min="1293" max="1293" width="14.125" style="2" customWidth="1"/>
    <col min="1294" max="1295" width="3.125" style="2" customWidth="1"/>
    <col min="1296" max="1296" width="16.625" style="2" customWidth="1"/>
    <col min="1297" max="1297" width="14.125" style="2" customWidth="1"/>
    <col min="1298" max="1299" width="3.125" style="2" customWidth="1"/>
    <col min="1300" max="1300" width="16.625" style="2" customWidth="1"/>
    <col min="1301" max="1301" width="14.125" style="2" customWidth="1"/>
    <col min="1302" max="1302" width="3.5" style="2" customWidth="1"/>
    <col min="1303" max="1303" width="3.125" style="2" customWidth="1"/>
    <col min="1304" max="1304" width="16.625" style="2" customWidth="1"/>
    <col min="1305" max="1305" width="13.75" style="2" customWidth="1"/>
    <col min="1306" max="1536" width="9" style="2"/>
    <col min="1537" max="1539" width="3.125" style="2" customWidth="1"/>
    <col min="1540" max="1540" width="16.625" style="2" customWidth="1"/>
    <col min="1541" max="1541" width="14.125" style="2" customWidth="1"/>
    <col min="1542" max="1543" width="3.125" style="2" customWidth="1"/>
    <col min="1544" max="1544" width="16.625" style="2" customWidth="1"/>
    <col min="1545" max="1545" width="14.125" style="2" customWidth="1"/>
    <col min="1546" max="1547" width="3.125" style="2" customWidth="1"/>
    <col min="1548" max="1548" width="16.625" style="2" customWidth="1"/>
    <col min="1549" max="1549" width="14.125" style="2" customWidth="1"/>
    <col min="1550" max="1551" width="3.125" style="2" customWidth="1"/>
    <col min="1552" max="1552" width="16.625" style="2" customWidth="1"/>
    <col min="1553" max="1553" width="14.125" style="2" customWidth="1"/>
    <col min="1554" max="1555" width="3.125" style="2" customWidth="1"/>
    <col min="1556" max="1556" width="16.625" style="2" customWidth="1"/>
    <col min="1557" max="1557" width="14.125" style="2" customWidth="1"/>
    <col min="1558" max="1558" width="3.5" style="2" customWidth="1"/>
    <col min="1559" max="1559" width="3.125" style="2" customWidth="1"/>
    <col min="1560" max="1560" width="16.625" style="2" customWidth="1"/>
    <col min="1561" max="1561" width="13.75" style="2" customWidth="1"/>
    <col min="1562" max="1792" width="9" style="2"/>
    <col min="1793" max="1795" width="3.125" style="2" customWidth="1"/>
    <col min="1796" max="1796" width="16.625" style="2" customWidth="1"/>
    <col min="1797" max="1797" width="14.125" style="2" customWidth="1"/>
    <col min="1798" max="1799" width="3.125" style="2" customWidth="1"/>
    <col min="1800" max="1800" width="16.625" style="2" customWidth="1"/>
    <col min="1801" max="1801" width="14.125" style="2" customWidth="1"/>
    <col min="1802" max="1803" width="3.125" style="2" customWidth="1"/>
    <col min="1804" max="1804" width="16.625" style="2" customWidth="1"/>
    <col min="1805" max="1805" width="14.125" style="2" customWidth="1"/>
    <col min="1806" max="1807" width="3.125" style="2" customWidth="1"/>
    <col min="1808" max="1808" width="16.625" style="2" customWidth="1"/>
    <col min="1809" max="1809" width="14.125" style="2" customWidth="1"/>
    <col min="1810" max="1811" width="3.125" style="2" customWidth="1"/>
    <col min="1812" max="1812" width="16.625" style="2" customWidth="1"/>
    <col min="1813" max="1813" width="14.125" style="2" customWidth="1"/>
    <col min="1814" max="1814" width="3.5" style="2" customWidth="1"/>
    <col min="1815" max="1815" width="3.125" style="2" customWidth="1"/>
    <col min="1816" max="1816" width="16.625" style="2" customWidth="1"/>
    <col min="1817" max="1817" width="13.75" style="2" customWidth="1"/>
    <col min="1818" max="2048" width="9" style="2"/>
    <col min="2049" max="2051" width="3.125" style="2" customWidth="1"/>
    <col min="2052" max="2052" width="16.625" style="2" customWidth="1"/>
    <col min="2053" max="2053" width="14.125" style="2" customWidth="1"/>
    <col min="2054" max="2055" width="3.125" style="2" customWidth="1"/>
    <col min="2056" max="2056" width="16.625" style="2" customWidth="1"/>
    <col min="2057" max="2057" width="14.125" style="2" customWidth="1"/>
    <col min="2058" max="2059" width="3.125" style="2" customWidth="1"/>
    <col min="2060" max="2060" width="16.625" style="2" customWidth="1"/>
    <col min="2061" max="2061" width="14.125" style="2" customWidth="1"/>
    <col min="2062" max="2063" width="3.125" style="2" customWidth="1"/>
    <col min="2064" max="2064" width="16.625" style="2" customWidth="1"/>
    <col min="2065" max="2065" width="14.125" style="2" customWidth="1"/>
    <col min="2066" max="2067" width="3.125" style="2" customWidth="1"/>
    <col min="2068" max="2068" width="16.625" style="2" customWidth="1"/>
    <col min="2069" max="2069" width="14.125" style="2" customWidth="1"/>
    <col min="2070" max="2070" width="3.5" style="2" customWidth="1"/>
    <col min="2071" max="2071" width="3.125" style="2" customWidth="1"/>
    <col min="2072" max="2072" width="16.625" style="2" customWidth="1"/>
    <col min="2073" max="2073" width="13.75" style="2" customWidth="1"/>
    <col min="2074" max="2304" width="9" style="2"/>
    <col min="2305" max="2307" width="3.125" style="2" customWidth="1"/>
    <col min="2308" max="2308" width="16.625" style="2" customWidth="1"/>
    <col min="2309" max="2309" width="14.125" style="2" customWidth="1"/>
    <col min="2310" max="2311" width="3.125" style="2" customWidth="1"/>
    <col min="2312" max="2312" width="16.625" style="2" customWidth="1"/>
    <col min="2313" max="2313" width="14.125" style="2" customWidth="1"/>
    <col min="2314" max="2315" width="3.125" style="2" customWidth="1"/>
    <col min="2316" max="2316" width="16.625" style="2" customWidth="1"/>
    <col min="2317" max="2317" width="14.125" style="2" customWidth="1"/>
    <col min="2318" max="2319" width="3.125" style="2" customWidth="1"/>
    <col min="2320" max="2320" width="16.625" style="2" customWidth="1"/>
    <col min="2321" max="2321" width="14.125" style="2" customWidth="1"/>
    <col min="2322" max="2323" width="3.125" style="2" customWidth="1"/>
    <col min="2324" max="2324" width="16.625" style="2" customWidth="1"/>
    <col min="2325" max="2325" width="14.125" style="2" customWidth="1"/>
    <col min="2326" max="2326" width="3.5" style="2" customWidth="1"/>
    <col min="2327" max="2327" width="3.125" style="2" customWidth="1"/>
    <col min="2328" max="2328" width="16.625" style="2" customWidth="1"/>
    <col min="2329" max="2329" width="13.75" style="2" customWidth="1"/>
    <col min="2330" max="2560" width="9" style="2"/>
    <col min="2561" max="2563" width="3.125" style="2" customWidth="1"/>
    <col min="2564" max="2564" width="16.625" style="2" customWidth="1"/>
    <col min="2565" max="2565" width="14.125" style="2" customWidth="1"/>
    <col min="2566" max="2567" width="3.125" style="2" customWidth="1"/>
    <col min="2568" max="2568" width="16.625" style="2" customWidth="1"/>
    <col min="2569" max="2569" width="14.125" style="2" customWidth="1"/>
    <col min="2570" max="2571" width="3.125" style="2" customWidth="1"/>
    <col min="2572" max="2572" width="16.625" style="2" customWidth="1"/>
    <col min="2573" max="2573" width="14.125" style="2" customWidth="1"/>
    <col min="2574" max="2575" width="3.125" style="2" customWidth="1"/>
    <col min="2576" max="2576" width="16.625" style="2" customWidth="1"/>
    <col min="2577" max="2577" width="14.125" style="2" customWidth="1"/>
    <col min="2578" max="2579" width="3.125" style="2" customWidth="1"/>
    <col min="2580" max="2580" width="16.625" style="2" customWidth="1"/>
    <col min="2581" max="2581" width="14.125" style="2" customWidth="1"/>
    <col min="2582" max="2582" width="3.5" style="2" customWidth="1"/>
    <col min="2583" max="2583" width="3.125" style="2" customWidth="1"/>
    <col min="2584" max="2584" width="16.625" style="2" customWidth="1"/>
    <col min="2585" max="2585" width="13.75" style="2" customWidth="1"/>
    <col min="2586" max="2816" width="9" style="2"/>
    <col min="2817" max="2819" width="3.125" style="2" customWidth="1"/>
    <col min="2820" max="2820" width="16.625" style="2" customWidth="1"/>
    <col min="2821" max="2821" width="14.125" style="2" customWidth="1"/>
    <col min="2822" max="2823" width="3.125" style="2" customWidth="1"/>
    <col min="2824" max="2824" width="16.625" style="2" customWidth="1"/>
    <col min="2825" max="2825" width="14.125" style="2" customWidth="1"/>
    <col min="2826" max="2827" width="3.125" style="2" customWidth="1"/>
    <col min="2828" max="2828" width="16.625" style="2" customWidth="1"/>
    <col min="2829" max="2829" width="14.125" style="2" customWidth="1"/>
    <col min="2830" max="2831" width="3.125" style="2" customWidth="1"/>
    <col min="2832" max="2832" width="16.625" style="2" customWidth="1"/>
    <col min="2833" max="2833" width="14.125" style="2" customWidth="1"/>
    <col min="2834" max="2835" width="3.125" style="2" customWidth="1"/>
    <col min="2836" max="2836" width="16.625" style="2" customWidth="1"/>
    <col min="2837" max="2837" width="14.125" style="2" customWidth="1"/>
    <col min="2838" max="2838" width="3.5" style="2" customWidth="1"/>
    <col min="2839" max="2839" width="3.125" style="2" customWidth="1"/>
    <col min="2840" max="2840" width="16.625" style="2" customWidth="1"/>
    <col min="2841" max="2841" width="13.75" style="2" customWidth="1"/>
    <col min="2842" max="3072" width="9" style="2"/>
    <col min="3073" max="3075" width="3.125" style="2" customWidth="1"/>
    <col min="3076" max="3076" width="16.625" style="2" customWidth="1"/>
    <col min="3077" max="3077" width="14.125" style="2" customWidth="1"/>
    <col min="3078" max="3079" width="3.125" style="2" customWidth="1"/>
    <col min="3080" max="3080" width="16.625" style="2" customWidth="1"/>
    <col min="3081" max="3081" width="14.125" style="2" customWidth="1"/>
    <col min="3082" max="3083" width="3.125" style="2" customWidth="1"/>
    <col min="3084" max="3084" width="16.625" style="2" customWidth="1"/>
    <col min="3085" max="3085" width="14.125" style="2" customWidth="1"/>
    <col min="3086" max="3087" width="3.125" style="2" customWidth="1"/>
    <col min="3088" max="3088" width="16.625" style="2" customWidth="1"/>
    <col min="3089" max="3089" width="14.125" style="2" customWidth="1"/>
    <col min="3090" max="3091" width="3.125" style="2" customWidth="1"/>
    <col min="3092" max="3092" width="16.625" style="2" customWidth="1"/>
    <col min="3093" max="3093" width="14.125" style="2" customWidth="1"/>
    <col min="3094" max="3094" width="3.5" style="2" customWidth="1"/>
    <col min="3095" max="3095" width="3.125" style="2" customWidth="1"/>
    <col min="3096" max="3096" width="16.625" style="2" customWidth="1"/>
    <col min="3097" max="3097" width="13.75" style="2" customWidth="1"/>
    <col min="3098" max="3328" width="9" style="2"/>
    <col min="3329" max="3331" width="3.125" style="2" customWidth="1"/>
    <col min="3332" max="3332" width="16.625" style="2" customWidth="1"/>
    <col min="3333" max="3333" width="14.125" style="2" customWidth="1"/>
    <col min="3334" max="3335" width="3.125" style="2" customWidth="1"/>
    <col min="3336" max="3336" width="16.625" style="2" customWidth="1"/>
    <col min="3337" max="3337" width="14.125" style="2" customWidth="1"/>
    <col min="3338" max="3339" width="3.125" style="2" customWidth="1"/>
    <col min="3340" max="3340" width="16.625" style="2" customWidth="1"/>
    <col min="3341" max="3341" width="14.125" style="2" customWidth="1"/>
    <col min="3342" max="3343" width="3.125" style="2" customWidth="1"/>
    <col min="3344" max="3344" width="16.625" style="2" customWidth="1"/>
    <col min="3345" max="3345" width="14.125" style="2" customWidth="1"/>
    <col min="3346" max="3347" width="3.125" style="2" customWidth="1"/>
    <col min="3348" max="3348" width="16.625" style="2" customWidth="1"/>
    <col min="3349" max="3349" width="14.125" style="2" customWidth="1"/>
    <col min="3350" max="3350" width="3.5" style="2" customWidth="1"/>
    <col min="3351" max="3351" width="3.125" style="2" customWidth="1"/>
    <col min="3352" max="3352" width="16.625" style="2" customWidth="1"/>
    <col min="3353" max="3353" width="13.75" style="2" customWidth="1"/>
    <col min="3354" max="3584" width="9" style="2"/>
    <col min="3585" max="3587" width="3.125" style="2" customWidth="1"/>
    <col min="3588" max="3588" width="16.625" style="2" customWidth="1"/>
    <col min="3589" max="3589" width="14.125" style="2" customWidth="1"/>
    <col min="3590" max="3591" width="3.125" style="2" customWidth="1"/>
    <col min="3592" max="3592" width="16.625" style="2" customWidth="1"/>
    <col min="3593" max="3593" width="14.125" style="2" customWidth="1"/>
    <col min="3594" max="3595" width="3.125" style="2" customWidth="1"/>
    <col min="3596" max="3596" width="16.625" style="2" customWidth="1"/>
    <col min="3597" max="3597" width="14.125" style="2" customWidth="1"/>
    <col min="3598" max="3599" width="3.125" style="2" customWidth="1"/>
    <col min="3600" max="3600" width="16.625" style="2" customWidth="1"/>
    <col min="3601" max="3601" width="14.125" style="2" customWidth="1"/>
    <col min="3602" max="3603" width="3.125" style="2" customWidth="1"/>
    <col min="3604" max="3604" width="16.625" style="2" customWidth="1"/>
    <col min="3605" max="3605" width="14.125" style="2" customWidth="1"/>
    <col min="3606" max="3606" width="3.5" style="2" customWidth="1"/>
    <col min="3607" max="3607" width="3.125" style="2" customWidth="1"/>
    <col min="3608" max="3608" width="16.625" style="2" customWidth="1"/>
    <col min="3609" max="3609" width="13.75" style="2" customWidth="1"/>
    <col min="3610" max="3840" width="9" style="2"/>
    <col min="3841" max="3843" width="3.125" style="2" customWidth="1"/>
    <col min="3844" max="3844" width="16.625" style="2" customWidth="1"/>
    <col min="3845" max="3845" width="14.125" style="2" customWidth="1"/>
    <col min="3846" max="3847" width="3.125" style="2" customWidth="1"/>
    <col min="3848" max="3848" width="16.625" style="2" customWidth="1"/>
    <col min="3849" max="3849" width="14.125" style="2" customWidth="1"/>
    <col min="3850" max="3851" width="3.125" style="2" customWidth="1"/>
    <col min="3852" max="3852" width="16.625" style="2" customWidth="1"/>
    <col min="3853" max="3853" width="14.125" style="2" customWidth="1"/>
    <col min="3854" max="3855" width="3.125" style="2" customWidth="1"/>
    <col min="3856" max="3856" width="16.625" style="2" customWidth="1"/>
    <col min="3857" max="3857" width="14.125" style="2" customWidth="1"/>
    <col min="3858" max="3859" width="3.125" style="2" customWidth="1"/>
    <col min="3860" max="3860" width="16.625" style="2" customWidth="1"/>
    <col min="3861" max="3861" width="14.125" style="2" customWidth="1"/>
    <col min="3862" max="3862" width="3.5" style="2" customWidth="1"/>
    <col min="3863" max="3863" width="3.125" style="2" customWidth="1"/>
    <col min="3864" max="3864" width="16.625" style="2" customWidth="1"/>
    <col min="3865" max="3865" width="13.75" style="2" customWidth="1"/>
    <col min="3866" max="4096" width="9" style="2"/>
    <col min="4097" max="4099" width="3.125" style="2" customWidth="1"/>
    <col min="4100" max="4100" width="16.625" style="2" customWidth="1"/>
    <col min="4101" max="4101" width="14.125" style="2" customWidth="1"/>
    <col min="4102" max="4103" width="3.125" style="2" customWidth="1"/>
    <col min="4104" max="4104" width="16.625" style="2" customWidth="1"/>
    <col min="4105" max="4105" width="14.125" style="2" customWidth="1"/>
    <col min="4106" max="4107" width="3.125" style="2" customWidth="1"/>
    <col min="4108" max="4108" width="16.625" style="2" customWidth="1"/>
    <col min="4109" max="4109" width="14.125" style="2" customWidth="1"/>
    <col min="4110" max="4111" width="3.125" style="2" customWidth="1"/>
    <col min="4112" max="4112" width="16.625" style="2" customWidth="1"/>
    <col min="4113" max="4113" width="14.125" style="2" customWidth="1"/>
    <col min="4114" max="4115" width="3.125" style="2" customWidth="1"/>
    <col min="4116" max="4116" width="16.625" style="2" customWidth="1"/>
    <col min="4117" max="4117" width="14.125" style="2" customWidth="1"/>
    <col min="4118" max="4118" width="3.5" style="2" customWidth="1"/>
    <col min="4119" max="4119" width="3.125" style="2" customWidth="1"/>
    <col min="4120" max="4120" width="16.625" style="2" customWidth="1"/>
    <col min="4121" max="4121" width="13.75" style="2" customWidth="1"/>
    <col min="4122" max="4352" width="9" style="2"/>
    <col min="4353" max="4355" width="3.125" style="2" customWidth="1"/>
    <col min="4356" max="4356" width="16.625" style="2" customWidth="1"/>
    <col min="4357" max="4357" width="14.125" style="2" customWidth="1"/>
    <col min="4358" max="4359" width="3.125" style="2" customWidth="1"/>
    <col min="4360" max="4360" width="16.625" style="2" customWidth="1"/>
    <col min="4361" max="4361" width="14.125" style="2" customWidth="1"/>
    <col min="4362" max="4363" width="3.125" style="2" customWidth="1"/>
    <col min="4364" max="4364" width="16.625" style="2" customWidth="1"/>
    <col min="4365" max="4365" width="14.125" style="2" customWidth="1"/>
    <col min="4366" max="4367" width="3.125" style="2" customWidth="1"/>
    <col min="4368" max="4368" width="16.625" style="2" customWidth="1"/>
    <col min="4369" max="4369" width="14.125" style="2" customWidth="1"/>
    <col min="4370" max="4371" width="3.125" style="2" customWidth="1"/>
    <col min="4372" max="4372" width="16.625" style="2" customWidth="1"/>
    <col min="4373" max="4373" width="14.125" style="2" customWidth="1"/>
    <col min="4374" max="4374" width="3.5" style="2" customWidth="1"/>
    <col min="4375" max="4375" width="3.125" style="2" customWidth="1"/>
    <col min="4376" max="4376" width="16.625" style="2" customWidth="1"/>
    <col min="4377" max="4377" width="13.75" style="2" customWidth="1"/>
    <col min="4378" max="4608" width="9" style="2"/>
    <col min="4609" max="4611" width="3.125" style="2" customWidth="1"/>
    <col min="4612" max="4612" width="16.625" style="2" customWidth="1"/>
    <col min="4613" max="4613" width="14.125" style="2" customWidth="1"/>
    <col min="4614" max="4615" width="3.125" style="2" customWidth="1"/>
    <col min="4616" max="4616" width="16.625" style="2" customWidth="1"/>
    <col min="4617" max="4617" width="14.125" style="2" customWidth="1"/>
    <col min="4618" max="4619" width="3.125" style="2" customWidth="1"/>
    <col min="4620" max="4620" width="16.625" style="2" customWidth="1"/>
    <col min="4621" max="4621" width="14.125" style="2" customWidth="1"/>
    <col min="4622" max="4623" width="3.125" style="2" customWidth="1"/>
    <col min="4624" max="4624" width="16.625" style="2" customWidth="1"/>
    <col min="4625" max="4625" width="14.125" style="2" customWidth="1"/>
    <col min="4626" max="4627" width="3.125" style="2" customWidth="1"/>
    <col min="4628" max="4628" width="16.625" style="2" customWidth="1"/>
    <col min="4629" max="4629" width="14.125" style="2" customWidth="1"/>
    <col min="4630" max="4630" width="3.5" style="2" customWidth="1"/>
    <col min="4631" max="4631" width="3.125" style="2" customWidth="1"/>
    <col min="4632" max="4632" width="16.625" style="2" customWidth="1"/>
    <col min="4633" max="4633" width="13.75" style="2" customWidth="1"/>
    <col min="4634" max="4864" width="9" style="2"/>
    <col min="4865" max="4867" width="3.125" style="2" customWidth="1"/>
    <col min="4868" max="4868" width="16.625" style="2" customWidth="1"/>
    <col min="4869" max="4869" width="14.125" style="2" customWidth="1"/>
    <col min="4870" max="4871" width="3.125" style="2" customWidth="1"/>
    <col min="4872" max="4872" width="16.625" style="2" customWidth="1"/>
    <col min="4873" max="4873" width="14.125" style="2" customWidth="1"/>
    <col min="4874" max="4875" width="3.125" style="2" customWidth="1"/>
    <col min="4876" max="4876" width="16.625" style="2" customWidth="1"/>
    <col min="4877" max="4877" width="14.125" style="2" customWidth="1"/>
    <col min="4878" max="4879" width="3.125" style="2" customWidth="1"/>
    <col min="4880" max="4880" width="16.625" style="2" customWidth="1"/>
    <col min="4881" max="4881" width="14.125" style="2" customWidth="1"/>
    <col min="4882" max="4883" width="3.125" style="2" customWidth="1"/>
    <col min="4884" max="4884" width="16.625" style="2" customWidth="1"/>
    <col min="4885" max="4885" width="14.125" style="2" customWidth="1"/>
    <col min="4886" max="4886" width="3.5" style="2" customWidth="1"/>
    <col min="4887" max="4887" width="3.125" style="2" customWidth="1"/>
    <col min="4888" max="4888" width="16.625" style="2" customWidth="1"/>
    <col min="4889" max="4889" width="13.75" style="2" customWidth="1"/>
    <col min="4890" max="5120" width="9" style="2"/>
    <col min="5121" max="5123" width="3.125" style="2" customWidth="1"/>
    <col min="5124" max="5124" width="16.625" style="2" customWidth="1"/>
    <col min="5125" max="5125" width="14.125" style="2" customWidth="1"/>
    <col min="5126" max="5127" width="3.125" style="2" customWidth="1"/>
    <col min="5128" max="5128" width="16.625" style="2" customWidth="1"/>
    <col min="5129" max="5129" width="14.125" style="2" customWidth="1"/>
    <col min="5130" max="5131" width="3.125" style="2" customWidth="1"/>
    <col min="5132" max="5132" width="16.625" style="2" customWidth="1"/>
    <col min="5133" max="5133" width="14.125" style="2" customWidth="1"/>
    <col min="5134" max="5135" width="3.125" style="2" customWidth="1"/>
    <col min="5136" max="5136" width="16.625" style="2" customWidth="1"/>
    <col min="5137" max="5137" width="14.125" style="2" customWidth="1"/>
    <col min="5138" max="5139" width="3.125" style="2" customWidth="1"/>
    <col min="5140" max="5140" width="16.625" style="2" customWidth="1"/>
    <col min="5141" max="5141" width="14.125" style="2" customWidth="1"/>
    <col min="5142" max="5142" width="3.5" style="2" customWidth="1"/>
    <col min="5143" max="5143" width="3.125" style="2" customWidth="1"/>
    <col min="5144" max="5144" width="16.625" style="2" customWidth="1"/>
    <col min="5145" max="5145" width="13.75" style="2" customWidth="1"/>
    <col min="5146" max="5376" width="9" style="2"/>
    <col min="5377" max="5379" width="3.125" style="2" customWidth="1"/>
    <col min="5380" max="5380" width="16.625" style="2" customWidth="1"/>
    <col min="5381" max="5381" width="14.125" style="2" customWidth="1"/>
    <col min="5382" max="5383" width="3.125" style="2" customWidth="1"/>
    <col min="5384" max="5384" width="16.625" style="2" customWidth="1"/>
    <col min="5385" max="5385" width="14.125" style="2" customWidth="1"/>
    <col min="5386" max="5387" width="3.125" style="2" customWidth="1"/>
    <col min="5388" max="5388" width="16.625" style="2" customWidth="1"/>
    <col min="5389" max="5389" width="14.125" style="2" customWidth="1"/>
    <col min="5390" max="5391" width="3.125" style="2" customWidth="1"/>
    <col min="5392" max="5392" width="16.625" style="2" customWidth="1"/>
    <col min="5393" max="5393" width="14.125" style="2" customWidth="1"/>
    <col min="5394" max="5395" width="3.125" style="2" customWidth="1"/>
    <col min="5396" max="5396" width="16.625" style="2" customWidth="1"/>
    <col min="5397" max="5397" width="14.125" style="2" customWidth="1"/>
    <col min="5398" max="5398" width="3.5" style="2" customWidth="1"/>
    <col min="5399" max="5399" width="3.125" style="2" customWidth="1"/>
    <col min="5400" max="5400" width="16.625" style="2" customWidth="1"/>
    <col min="5401" max="5401" width="13.75" style="2" customWidth="1"/>
    <col min="5402" max="5632" width="9" style="2"/>
    <col min="5633" max="5635" width="3.125" style="2" customWidth="1"/>
    <col min="5636" max="5636" width="16.625" style="2" customWidth="1"/>
    <col min="5637" max="5637" width="14.125" style="2" customWidth="1"/>
    <col min="5638" max="5639" width="3.125" style="2" customWidth="1"/>
    <col min="5640" max="5640" width="16.625" style="2" customWidth="1"/>
    <col min="5641" max="5641" width="14.125" style="2" customWidth="1"/>
    <col min="5642" max="5643" width="3.125" style="2" customWidth="1"/>
    <col min="5644" max="5644" width="16.625" style="2" customWidth="1"/>
    <col min="5645" max="5645" width="14.125" style="2" customWidth="1"/>
    <col min="5646" max="5647" width="3.125" style="2" customWidth="1"/>
    <col min="5648" max="5648" width="16.625" style="2" customWidth="1"/>
    <col min="5649" max="5649" width="14.125" style="2" customWidth="1"/>
    <col min="5650" max="5651" width="3.125" style="2" customWidth="1"/>
    <col min="5652" max="5652" width="16.625" style="2" customWidth="1"/>
    <col min="5653" max="5653" width="14.125" style="2" customWidth="1"/>
    <col min="5654" max="5654" width="3.5" style="2" customWidth="1"/>
    <col min="5655" max="5655" width="3.125" style="2" customWidth="1"/>
    <col min="5656" max="5656" width="16.625" style="2" customWidth="1"/>
    <col min="5657" max="5657" width="13.75" style="2" customWidth="1"/>
    <col min="5658" max="5888" width="9" style="2"/>
    <col min="5889" max="5891" width="3.125" style="2" customWidth="1"/>
    <col min="5892" max="5892" width="16.625" style="2" customWidth="1"/>
    <col min="5893" max="5893" width="14.125" style="2" customWidth="1"/>
    <col min="5894" max="5895" width="3.125" style="2" customWidth="1"/>
    <col min="5896" max="5896" width="16.625" style="2" customWidth="1"/>
    <col min="5897" max="5897" width="14.125" style="2" customWidth="1"/>
    <col min="5898" max="5899" width="3.125" style="2" customWidth="1"/>
    <col min="5900" max="5900" width="16.625" style="2" customWidth="1"/>
    <col min="5901" max="5901" width="14.125" style="2" customWidth="1"/>
    <col min="5902" max="5903" width="3.125" style="2" customWidth="1"/>
    <col min="5904" max="5904" width="16.625" style="2" customWidth="1"/>
    <col min="5905" max="5905" width="14.125" style="2" customWidth="1"/>
    <col min="5906" max="5907" width="3.125" style="2" customWidth="1"/>
    <col min="5908" max="5908" width="16.625" style="2" customWidth="1"/>
    <col min="5909" max="5909" width="14.125" style="2" customWidth="1"/>
    <col min="5910" max="5910" width="3.5" style="2" customWidth="1"/>
    <col min="5911" max="5911" width="3.125" style="2" customWidth="1"/>
    <col min="5912" max="5912" width="16.625" style="2" customWidth="1"/>
    <col min="5913" max="5913" width="13.75" style="2" customWidth="1"/>
    <col min="5914" max="6144" width="9" style="2"/>
    <col min="6145" max="6147" width="3.125" style="2" customWidth="1"/>
    <col min="6148" max="6148" width="16.625" style="2" customWidth="1"/>
    <col min="6149" max="6149" width="14.125" style="2" customWidth="1"/>
    <col min="6150" max="6151" width="3.125" style="2" customWidth="1"/>
    <col min="6152" max="6152" width="16.625" style="2" customWidth="1"/>
    <col min="6153" max="6153" width="14.125" style="2" customWidth="1"/>
    <col min="6154" max="6155" width="3.125" style="2" customWidth="1"/>
    <col min="6156" max="6156" width="16.625" style="2" customWidth="1"/>
    <col min="6157" max="6157" width="14.125" style="2" customWidth="1"/>
    <col min="6158" max="6159" width="3.125" style="2" customWidth="1"/>
    <col min="6160" max="6160" width="16.625" style="2" customWidth="1"/>
    <col min="6161" max="6161" width="14.125" style="2" customWidth="1"/>
    <col min="6162" max="6163" width="3.125" style="2" customWidth="1"/>
    <col min="6164" max="6164" width="16.625" style="2" customWidth="1"/>
    <col min="6165" max="6165" width="14.125" style="2" customWidth="1"/>
    <col min="6166" max="6166" width="3.5" style="2" customWidth="1"/>
    <col min="6167" max="6167" width="3.125" style="2" customWidth="1"/>
    <col min="6168" max="6168" width="16.625" style="2" customWidth="1"/>
    <col min="6169" max="6169" width="13.75" style="2" customWidth="1"/>
    <col min="6170" max="6400" width="9" style="2"/>
    <col min="6401" max="6403" width="3.125" style="2" customWidth="1"/>
    <col min="6404" max="6404" width="16.625" style="2" customWidth="1"/>
    <col min="6405" max="6405" width="14.125" style="2" customWidth="1"/>
    <col min="6406" max="6407" width="3.125" style="2" customWidth="1"/>
    <col min="6408" max="6408" width="16.625" style="2" customWidth="1"/>
    <col min="6409" max="6409" width="14.125" style="2" customWidth="1"/>
    <col min="6410" max="6411" width="3.125" style="2" customWidth="1"/>
    <col min="6412" max="6412" width="16.625" style="2" customWidth="1"/>
    <col min="6413" max="6413" width="14.125" style="2" customWidth="1"/>
    <col min="6414" max="6415" width="3.125" style="2" customWidth="1"/>
    <col min="6416" max="6416" width="16.625" style="2" customWidth="1"/>
    <col min="6417" max="6417" width="14.125" style="2" customWidth="1"/>
    <col min="6418" max="6419" width="3.125" style="2" customWidth="1"/>
    <col min="6420" max="6420" width="16.625" style="2" customWidth="1"/>
    <col min="6421" max="6421" width="14.125" style="2" customWidth="1"/>
    <col min="6422" max="6422" width="3.5" style="2" customWidth="1"/>
    <col min="6423" max="6423" width="3.125" style="2" customWidth="1"/>
    <col min="6424" max="6424" width="16.625" style="2" customWidth="1"/>
    <col min="6425" max="6425" width="13.75" style="2" customWidth="1"/>
    <col min="6426" max="6656" width="9" style="2"/>
    <col min="6657" max="6659" width="3.125" style="2" customWidth="1"/>
    <col min="6660" max="6660" width="16.625" style="2" customWidth="1"/>
    <col min="6661" max="6661" width="14.125" style="2" customWidth="1"/>
    <col min="6662" max="6663" width="3.125" style="2" customWidth="1"/>
    <col min="6664" max="6664" width="16.625" style="2" customWidth="1"/>
    <col min="6665" max="6665" width="14.125" style="2" customWidth="1"/>
    <col min="6666" max="6667" width="3.125" style="2" customWidth="1"/>
    <col min="6668" max="6668" width="16.625" style="2" customWidth="1"/>
    <col min="6669" max="6669" width="14.125" style="2" customWidth="1"/>
    <col min="6670" max="6671" width="3.125" style="2" customWidth="1"/>
    <col min="6672" max="6672" width="16.625" style="2" customWidth="1"/>
    <col min="6673" max="6673" width="14.125" style="2" customWidth="1"/>
    <col min="6674" max="6675" width="3.125" style="2" customWidth="1"/>
    <col min="6676" max="6676" width="16.625" style="2" customWidth="1"/>
    <col min="6677" max="6677" width="14.125" style="2" customWidth="1"/>
    <col min="6678" max="6678" width="3.5" style="2" customWidth="1"/>
    <col min="6679" max="6679" width="3.125" style="2" customWidth="1"/>
    <col min="6680" max="6680" width="16.625" style="2" customWidth="1"/>
    <col min="6681" max="6681" width="13.75" style="2" customWidth="1"/>
    <col min="6682" max="6912" width="9" style="2"/>
    <col min="6913" max="6915" width="3.125" style="2" customWidth="1"/>
    <col min="6916" max="6916" width="16.625" style="2" customWidth="1"/>
    <col min="6917" max="6917" width="14.125" style="2" customWidth="1"/>
    <col min="6918" max="6919" width="3.125" style="2" customWidth="1"/>
    <col min="6920" max="6920" width="16.625" style="2" customWidth="1"/>
    <col min="6921" max="6921" width="14.125" style="2" customWidth="1"/>
    <col min="6922" max="6923" width="3.125" style="2" customWidth="1"/>
    <col min="6924" max="6924" width="16.625" style="2" customWidth="1"/>
    <col min="6925" max="6925" width="14.125" style="2" customWidth="1"/>
    <col min="6926" max="6927" width="3.125" style="2" customWidth="1"/>
    <col min="6928" max="6928" width="16.625" style="2" customWidth="1"/>
    <col min="6929" max="6929" width="14.125" style="2" customWidth="1"/>
    <col min="6930" max="6931" width="3.125" style="2" customWidth="1"/>
    <col min="6932" max="6932" width="16.625" style="2" customWidth="1"/>
    <col min="6933" max="6933" width="14.125" style="2" customWidth="1"/>
    <col min="6934" max="6934" width="3.5" style="2" customWidth="1"/>
    <col min="6935" max="6935" width="3.125" style="2" customWidth="1"/>
    <col min="6936" max="6936" width="16.625" style="2" customWidth="1"/>
    <col min="6937" max="6937" width="13.75" style="2" customWidth="1"/>
    <col min="6938" max="7168" width="9" style="2"/>
    <col min="7169" max="7171" width="3.125" style="2" customWidth="1"/>
    <col min="7172" max="7172" width="16.625" style="2" customWidth="1"/>
    <col min="7173" max="7173" width="14.125" style="2" customWidth="1"/>
    <col min="7174" max="7175" width="3.125" style="2" customWidth="1"/>
    <col min="7176" max="7176" width="16.625" style="2" customWidth="1"/>
    <col min="7177" max="7177" width="14.125" style="2" customWidth="1"/>
    <col min="7178" max="7179" width="3.125" style="2" customWidth="1"/>
    <col min="7180" max="7180" width="16.625" style="2" customWidth="1"/>
    <col min="7181" max="7181" width="14.125" style="2" customWidth="1"/>
    <col min="7182" max="7183" width="3.125" style="2" customWidth="1"/>
    <col min="7184" max="7184" width="16.625" style="2" customWidth="1"/>
    <col min="7185" max="7185" width="14.125" style="2" customWidth="1"/>
    <col min="7186" max="7187" width="3.125" style="2" customWidth="1"/>
    <col min="7188" max="7188" width="16.625" style="2" customWidth="1"/>
    <col min="7189" max="7189" width="14.125" style="2" customWidth="1"/>
    <col min="7190" max="7190" width="3.5" style="2" customWidth="1"/>
    <col min="7191" max="7191" width="3.125" style="2" customWidth="1"/>
    <col min="7192" max="7192" width="16.625" style="2" customWidth="1"/>
    <col min="7193" max="7193" width="13.75" style="2" customWidth="1"/>
    <col min="7194" max="7424" width="9" style="2"/>
    <col min="7425" max="7427" width="3.125" style="2" customWidth="1"/>
    <col min="7428" max="7428" width="16.625" style="2" customWidth="1"/>
    <col min="7429" max="7429" width="14.125" style="2" customWidth="1"/>
    <col min="7430" max="7431" width="3.125" style="2" customWidth="1"/>
    <col min="7432" max="7432" width="16.625" style="2" customWidth="1"/>
    <col min="7433" max="7433" width="14.125" style="2" customWidth="1"/>
    <col min="7434" max="7435" width="3.125" style="2" customWidth="1"/>
    <col min="7436" max="7436" width="16.625" style="2" customWidth="1"/>
    <col min="7437" max="7437" width="14.125" style="2" customWidth="1"/>
    <col min="7438" max="7439" width="3.125" style="2" customWidth="1"/>
    <col min="7440" max="7440" width="16.625" style="2" customWidth="1"/>
    <col min="7441" max="7441" width="14.125" style="2" customWidth="1"/>
    <col min="7442" max="7443" width="3.125" style="2" customWidth="1"/>
    <col min="7444" max="7444" width="16.625" style="2" customWidth="1"/>
    <col min="7445" max="7445" width="14.125" style="2" customWidth="1"/>
    <col min="7446" max="7446" width="3.5" style="2" customWidth="1"/>
    <col min="7447" max="7447" width="3.125" style="2" customWidth="1"/>
    <col min="7448" max="7448" width="16.625" style="2" customWidth="1"/>
    <col min="7449" max="7449" width="13.75" style="2" customWidth="1"/>
    <col min="7450" max="7680" width="9" style="2"/>
    <col min="7681" max="7683" width="3.125" style="2" customWidth="1"/>
    <col min="7684" max="7684" width="16.625" style="2" customWidth="1"/>
    <col min="7685" max="7685" width="14.125" style="2" customWidth="1"/>
    <col min="7686" max="7687" width="3.125" style="2" customWidth="1"/>
    <col min="7688" max="7688" width="16.625" style="2" customWidth="1"/>
    <col min="7689" max="7689" width="14.125" style="2" customWidth="1"/>
    <col min="7690" max="7691" width="3.125" style="2" customWidth="1"/>
    <col min="7692" max="7692" width="16.625" style="2" customWidth="1"/>
    <col min="7693" max="7693" width="14.125" style="2" customWidth="1"/>
    <col min="7694" max="7695" width="3.125" style="2" customWidth="1"/>
    <col min="7696" max="7696" width="16.625" style="2" customWidth="1"/>
    <col min="7697" max="7697" width="14.125" style="2" customWidth="1"/>
    <col min="7698" max="7699" width="3.125" style="2" customWidth="1"/>
    <col min="7700" max="7700" width="16.625" style="2" customWidth="1"/>
    <col min="7701" max="7701" width="14.125" style="2" customWidth="1"/>
    <col min="7702" max="7702" width="3.5" style="2" customWidth="1"/>
    <col min="7703" max="7703" width="3.125" style="2" customWidth="1"/>
    <col min="7704" max="7704" width="16.625" style="2" customWidth="1"/>
    <col min="7705" max="7705" width="13.75" style="2" customWidth="1"/>
    <col min="7706" max="7936" width="9" style="2"/>
    <col min="7937" max="7939" width="3.125" style="2" customWidth="1"/>
    <col min="7940" max="7940" width="16.625" style="2" customWidth="1"/>
    <col min="7941" max="7941" width="14.125" style="2" customWidth="1"/>
    <col min="7942" max="7943" width="3.125" style="2" customWidth="1"/>
    <col min="7944" max="7944" width="16.625" style="2" customWidth="1"/>
    <col min="7945" max="7945" width="14.125" style="2" customWidth="1"/>
    <col min="7946" max="7947" width="3.125" style="2" customWidth="1"/>
    <col min="7948" max="7948" width="16.625" style="2" customWidth="1"/>
    <col min="7949" max="7949" width="14.125" style="2" customWidth="1"/>
    <col min="7950" max="7951" width="3.125" style="2" customWidth="1"/>
    <col min="7952" max="7952" width="16.625" style="2" customWidth="1"/>
    <col min="7953" max="7953" width="14.125" style="2" customWidth="1"/>
    <col min="7954" max="7955" width="3.125" style="2" customWidth="1"/>
    <col min="7956" max="7956" width="16.625" style="2" customWidth="1"/>
    <col min="7957" max="7957" width="14.125" style="2" customWidth="1"/>
    <col min="7958" max="7958" width="3.5" style="2" customWidth="1"/>
    <col min="7959" max="7959" width="3.125" style="2" customWidth="1"/>
    <col min="7960" max="7960" width="16.625" style="2" customWidth="1"/>
    <col min="7961" max="7961" width="13.75" style="2" customWidth="1"/>
    <col min="7962" max="8192" width="9" style="2"/>
    <col min="8193" max="8195" width="3.125" style="2" customWidth="1"/>
    <col min="8196" max="8196" width="16.625" style="2" customWidth="1"/>
    <col min="8197" max="8197" width="14.125" style="2" customWidth="1"/>
    <col min="8198" max="8199" width="3.125" style="2" customWidth="1"/>
    <col min="8200" max="8200" width="16.625" style="2" customWidth="1"/>
    <col min="8201" max="8201" width="14.125" style="2" customWidth="1"/>
    <col min="8202" max="8203" width="3.125" style="2" customWidth="1"/>
    <col min="8204" max="8204" width="16.625" style="2" customWidth="1"/>
    <col min="8205" max="8205" width="14.125" style="2" customWidth="1"/>
    <col min="8206" max="8207" width="3.125" style="2" customWidth="1"/>
    <col min="8208" max="8208" width="16.625" style="2" customWidth="1"/>
    <col min="8209" max="8209" width="14.125" style="2" customWidth="1"/>
    <col min="8210" max="8211" width="3.125" style="2" customWidth="1"/>
    <col min="8212" max="8212" width="16.625" style="2" customWidth="1"/>
    <col min="8213" max="8213" width="14.125" style="2" customWidth="1"/>
    <col min="8214" max="8214" width="3.5" style="2" customWidth="1"/>
    <col min="8215" max="8215" width="3.125" style="2" customWidth="1"/>
    <col min="8216" max="8216" width="16.625" style="2" customWidth="1"/>
    <col min="8217" max="8217" width="13.75" style="2" customWidth="1"/>
    <col min="8218" max="8448" width="9" style="2"/>
    <col min="8449" max="8451" width="3.125" style="2" customWidth="1"/>
    <col min="8452" max="8452" width="16.625" style="2" customWidth="1"/>
    <col min="8453" max="8453" width="14.125" style="2" customWidth="1"/>
    <col min="8454" max="8455" width="3.125" style="2" customWidth="1"/>
    <col min="8456" max="8456" width="16.625" style="2" customWidth="1"/>
    <col min="8457" max="8457" width="14.125" style="2" customWidth="1"/>
    <col min="8458" max="8459" width="3.125" style="2" customWidth="1"/>
    <col min="8460" max="8460" width="16.625" style="2" customWidth="1"/>
    <col min="8461" max="8461" width="14.125" style="2" customWidth="1"/>
    <col min="8462" max="8463" width="3.125" style="2" customWidth="1"/>
    <col min="8464" max="8464" width="16.625" style="2" customWidth="1"/>
    <col min="8465" max="8465" width="14.125" style="2" customWidth="1"/>
    <col min="8466" max="8467" width="3.125" style="2" customWidth="1"/>
    <col min="8468" max="8468" width="16.625" style="2" customWidth="1"/>
    <col min="8469" max="8469" width="14.125" style="2" customWidth="1"/>
    <col min="8470" max="8470" width="3.5" style="2" customWidth="1"/>
    <col min="8471" max="8471" width="3.125" style="2" customWidth="1"/>
    <col min="8472" max="8472" width="16.625" style="2" customWidth="1"/>
    <col min="8473" max="8473" width="13.75" style="2" customWidth="1"/>
    <col min="8474" max="8704" width="9" style="2"/>
    <col min="8705" max="8707" width="3.125" style="2" customWidth="1"/>
    <col min="8708" max="8708" width="16.625" style="2" customWidth="1"/>
    <col min="8709" max="8709" width="14.125" style="2" customWidth="1"/>
    <col min="8710" max="8711" width="3.125" style="2" customWidth="1"/>
    <col min="8712" max="8712" width="16.625" style="2" customWidth="1"/>
    <col min="8713" max="8713" width="14.125" style="2" customWidth="1"/>
    <col min="8714" max="8715" width="3.125" style="2" customWidth="1"/>
    <col min="8716" max="8716" width="16.625" style="2" customWidth="1"/>
    <col min="8717" max="8717" width="14.125" style="2" customWidth="1"/>
    <col min="8718" max="8719" width="3.125" style="2" customWidth="1"/>
    <col min="8720" max="8720" width="16.625" style="2" customWidth="1"/>
    <col min="8721" max="8721" width="14.125" style="2" customWidth="1"/>
    <col min="8722" max="8723" width="3.125" style="2" customWidth="1"/>
    <col min="8724" max="8724" width="16.625" style="2" customWidth="1"/>
    <col min="8725" max="8725" width="14.125" style="2" customWidth="1"/>
    <col min="8726" max="8726" width="3.5" style="2" customWidth="1"/>
    <col min="8727" max="8727" width="3.125" style="2" customWidth="1"/>
    <col min="8728" max="8728" width="16.625" style="2" customWidth="1"/>
    <col min="8729" max="8729" width="13.75" style="2" customWidth="1"/>
    <col min="8730" max="8960" width="9" style="2"/>
    <col min="8961" max="8963" width="3.125" style="2" customWidth="1"/>
    <col min="8964" max="8964" width="16.625" style="2" customWidth="1"/>
    <col min="8965" max="8965" width="14.125" style="2" customWidth="1"/>
    <col min="8966" max="8967" width="3.125" style="2" customWidth="1"/>
    <col min="8968" max="8968" width="16.625" style="2" customWidth="1"/>
    <col min="8969" max="8969" width="14.125" style="2" customWidth="1"/>
    <col min="8970" max="8971" width="3.125" style="2" customWidth="1"/>
    <col min="8972" max="8972" width="16.625" style="2" customWidth="1"/>
    <col min="8973" max="8973" width="14.125" style="2" customWidth="1"/>
    <col min="8974" max="8975" width="3.125" style="2" customWidth="1"/>
    <col min="8976" max="8976" width="16.625" style="2" customWidth="1"/>
    <col min="8977" max="8977" width="14.125" style="2" customWidth="1"/>
    <col min="8978" max="8979" width="3.125" style="2" customWidth="1"/>
    <col min="8980" max="8980" width="16.625" style="2" customWidth="1"/>
    <col min="8981" max="8981" width="14.125" style="2" customWidth="1"/>
    <col min="8982" max="8982" width="3.5" style="2" customWidth="1"/>
    <col min="8983" max="8983" width="3.125" style="2" customWidth="1"/>
    <col min="8984" max="8984" width="16.625" style="2" customWidth="1"/>
    <col min="8985" max="8985" width="13.75" style="2" customWidth="1"/>
    <col min="8986" max="9216" width="9" style="2"/>
    <col min="9217" max="9219" width="3.125" style="2" customWidth="1"/>
    <col min="9220" max="9220" width="16.625" style="2" customWidth="1"/>
    <col min="9221" max="9221" width="14.125" style="2" customWidth="1"/>
    <col min="9222" max="9223" width="3.125" style="2" customWidth="1"/>
    <col min="9224" max="9224" width="16.625" style="2" customWidth="1"/>
    <col min="9225" max="9225" width="14.125" style="2" customWidth="1"/>
    <col min="9226" max="9227" width="3.125" style="2" customWidth="1"/>
    <col min="9228" max="9228" width="16.625" style="2" customWidth="1"/>
    <col min="9229" max="9229" width="14.125" style="2" customWidth="1"/>
    <col min="9230" max="9231" width="3.125" style="2" customWidth="1"/>
    <col min="9232" max="9232" width="16.625" style="2" customWidth="1"/>
    <col min="9233" max="9233" width="14.125" style="2" customWidth="1"/>
    <col min="9234" max="9235" width="3.125" style="2" customWidth="1"/>
    <col min="9236" max="9236" width="16.625" style="2" customWidth="1"/>
    <col min="9237" max="9237" width="14.125" style="2" customWidth="1"/>
    <col min="9238" max="9238" width="3.5" style="2" customWidth="1"/>
    <col min="9239" max="9239" width="3.125" style="2" customWidth="1"/>
    <col min="9240" max="9240" width="16.625" style="2" customWidth="1"/>
    <col min="9241" max="9241" width="13.75" style="2" customWidth="1"/>
    <col min="9242" max="9472" width="9" style="2"/>
    <col min="9473" max="9475" width="3.125" style="2" customWidth="1"/>
    <col min="9476" max="9476" width="16.625" style="2" customWidth="1"/>
    <col min="9477" max="9477" width="14.125" style="2" customWidth="1"/>
    <col min="9478" max="9479" width="3.125" style="2" customWidth="1"/>
    <col min="9480" max="9480" width="16.625" style="2" customWidth="1"/>
    <col min="9481" max="9481" width="14.125" style="2" customWidth="1"/>
    <col min="9482" max="9483" width="3.125" style="2" customWidth="1"/>
    <col min="9484" max="9484" width="16.625" style="2" customWidth="1"/>
    <col min="9485" max="9485" width="14.125" style="2" customWidth="1"/>
    <col min="9486" max="9487" width="3.125" style="2" customWidth="1"/>
    <col min="9488" max="9488" width="16.625" style="2" customWidth="1"/>
    <col min="9489" max="9489" width="14.125" style="2" customWidth="1"/>
    <col min="9490" max="9491" width="3.125" style="2" customWidth="1"/>
    <col min="9492" max="9492" width="16.625" style="2" customWidth="1"/>
    <col min="9493" max="9493" width="14.125" style="2" customWidth="1"/>
    <col min="9494" max="9494" width="3.5" style="2" customWidth="1"/>
    <col min="9495" max="9495" width="3.125" style="2" customWidth="1"/>
    <col min="9496" max="9496" width="16.625" style="2" customWidth="1"/>
    <col min="9497" max="9497" width="13.75" style="2" customWidth="1"/>
    <col min="9498" max="9728" width="9" style="2"/>
    <col min="9729" max="9731" width="3.125" style="2" customWidth="1"/>
    <col min="9732" max="9732" width="16.625" style="2" customWidth="1"/>
    <col min="9733" max="9733" width="14.125" style="2" customWidth="1"/>
    <col min="9734" max="9735" width="3.125" style="2" customWidth="1"/>
    <col min="9736" max="9736" width="16.625" style="2" customWidth="1"/>
    <col min="9737" max="9737" width="14.125" style="2" customWidth="1"/>
    <col min="9738" max="9739" width="3.125" style="2" customWidth="1"/>
    <col min="9740" max="9740" width="16.625" style="2" customWidth="1"/>
    <col min="9741" max="9741" width="14.125" style="2" customWidth="1"/>
    <col min="9742" max="9743" width="3.125" style="2" customWidth="1"/>
    <col min="9744" max="9744" width="16.625" style="2" customWidth="1"/>
    <col min="9745" max="9745" width="14.125" style="2" customWidth="1"/>
    <col min="9746" max="9747" width="3.125" style="2" customWidth="1"/>
    <col min="9748" max="9748" width="16.625" style="2" customWidth="1"/>
    <col min="9749" max="9749" width="14.125" style="2" customWidth="1"/>
    <col min="9750" max="9750" width="3.5" style="2" customWidth="1"/>
    <col min="9751" max="9751" width="3.125" style="2" customWidth="1"/>
    <col min="9752" max="9752" width="16.625" style="2" customWidth="1"/>
    <col min="9753" max="9753" width="13.75" style="2" customWidth="1"/>
    <col min="9754" max="9984" width="9" style="2"/>
    <col min="9985" max="9987" width="3.125" style="2" customWidth="1"/>
    <col min="9988" max="9988" width="16.625" style="2" customWidth="1"/>
    <col min="9989" max="9989" width="14.125" style="2" customWidth="1"/>
    <col min="9990" max="9991" width="3.125" style="2" customWidth="1"/>
    <col min="9992" max="9992" width="16.625" style="2" customWidth="1"/>
    <col min="9993" max="9993" width="14.125" style="2" customWidth="1"/>
    <col min="9994" max="9995" width="3.125" style="2" customWidth="1"/>
    <col min="9996" max="9996" width="16.625" style="2" customWidth="1"/>
    <col min="9997" max="9997" width="14.125" style="2" customWidth="1"/>
    <col min="9998" max="9999" width="3.125" style="2" customWidth="1"/>
    <col min="10000" max="10000" width="16.625" style="2" customWidth="1"/>
    <col min="10001" max="10001" width="14.125" style="2" customWidth="1"/>
    <col min="10002" max="10003" width="3.125" style="2" customWidth="1"/>
    <col min="10004" max="10004" width="16.625" style="2" customWidth="1"/>
    <col min="10005" max="10005" width="14.125" style="2" customWidth="1"/>
    <col min="10006" max="10006" width="3.5" style="2" customWidth="1"/>
    <col min="10007" max="10007" width="3.125" style="2" customWidth="1"/>
    <col min="10008" max="10008" width="16.625" style="2" customWidth="1"/>
    <col min="10009" max="10009" width="13.75" style="2" customWidth="1"/>
    <col min="10010" max="10240" width="9" style="2"/>
    <col min="10241" max="10243" width="3.125" style="2" customWidth="1"/>
    <col min="10244" max="10244" width="16.625" style="2" customWidth="1"/>
    <col min="10245" max="10245" width="14.125" style="2" customWidth="1"/>
    <col min="10246" max="10247" width="3.125" style="2" customWidth="1"/>
    <col min="10248" max="10248" width="16.625" style="2" customWidth="1"/>
    <col min="10249" max="10249" width="14.125" style="2" customWidth="1"/>
    <col min="10250" max="10251" width="3.125" style="2" customWidth="1"/>
    <col min="10252" max="10252" width="16.625" style="2" customWidth="1"/>
    <col min="10253" max="10253" width="14.125" style="2" customWidth="1"/>
    <col min="10254" max="10255" width="3.125" style="2" customWidth="1"/>
    <col min="10256" max="10256" width="16.625" style="2" customWidth="1"/>
    <col min="10257" max="10257" width="14.125" style="2" customWidth="1"/>
    <col min="10258" max="10259" width="3.125" style="2" customWidth="1"/>
    <col min="10260" max="10260" width="16.625" style="2" customWidth="1"/>
    <col min="10261" max="10261" width="14.125" style="2" customWidth="1"/>
    <col min="10262" max="10262" width="3.5" style="2" customWidth="1"/>
    <col min="10263" max="10263" width="3.125" style="2" customWidth="1"/>
    <col min="10264" max="10264" width="16.625" style="2" customWidth="1"/>
    <col min="10265" max="10265" width="13.75" style="2" customWidth="1"/>
    <col min="10266" max="10496" width="9" style="2"/>
    <col min="10497" max="10499" width="3.125" style="2" customWidth="1"/>
    <col min="10500" max="10500" width="16.625" style="2" customWidth="1"/>
    <col min="10501" max="10501" width="14.125" style="2" customWidth="1"/>
    <col min="10502" max="10503" width="3.125" style="2" customWidth="1"/>
    <col min="10504" max="10504" width="16.625" style="2" customWidth="1"/>
    <col min="10505" max="10505" width="14.125" style="2" customWidth="1"/>
    <col min="10506" max="10507" width="3.125" style="2" customWidth="1"/>
    <col min="10508" max="10508" width="16.625" style="2" customWidth="1"/>
    <col min="10509" max="10509" width="14.125" style="2" customWidth="1"/>
    <col min="10510" max="10511" width="3.125" style="2" customWidth="1"/>
    <col min="10512" max="10512" width="16.625" style="2" customWidth="1"/>
    <col min="10513" max="10513" width="14.125" style="2" customWidth="1"/>
    <col min="10514" max="10515" width="3.125" style="2" customWidth="1"/>
    <col min="10516" max="10516" width="16.625" style="2" customWidth="1"/>
    <col min="10517" max="10517" width="14.125" style="2" customWidth="1"/>
    <col min="10518" max="10518" width="3.5" style="2" customWidth="1"/>
    <col min="10519" max="10519" width="3.125" style="2" customWidth="1"/>
    <col min="10520" max="10520" width="16.625" style="2" customWidth="1"/>
    <col min="10521" max="10521" width="13.75" style="2" customWidth="1"/>
    <col min="10522" max="10752" width="9" style="2"/>
    <col min="10753" max="10755" width="3.125" style="2" customWidth="1"/>
    <col min="10756" max="10756" width="16.625" style="2" customWidth="1"/>
    <col min="10757" max="10757" width="14.125" style="2" customWidth="1"/>
    <col min="10758" max="10759" width="3.125" style="2" customWidth="1"/>
    <col min="10760" max="10760" width="16.625" style="2" customWidth="1"/>
    <col min="10761" max="10761" width="14.125" style="2" customWidth="1"/>
    <col min="10762" max="10763" width="3.125" style="2" customWidth="1"/>
    <col min="10764" max="10764" width="16.625" style="2" customWidth="1"/>
    <col min="10765" max="10765" width="14.125" style="2" customWidth="1"/>
    <col min="10766" max="10767" width="3.125" style="2" customWidth="1"/>
    <col min="10768" max="10768" width="16.625" style="2" customWidth="1"/>
    <col min="10769" max="10769" width="14.125" style="2" customWidth="1"/>
    <col min="10770" max="10771" width="3.125" style="2" customWidth="1"/>
    <col min="10772" max="10772" width="16.625" style="2" customWidth="1"/>
    <col min="10773" max="10773" width="14.125" style="2" customWidth="1"/>
    <col min="10774" max="10774" width="3.5" style="2" customWidth="1"/>
    <col min="10775" max="10775" width="3.125" style="2" customWidth="1"/>
    <col min="10776" max="10776" width="16.625" style="2" customWidth="1"/>
    <col min="10777" max="10777" width="13.75" style="2" customWidth="1"/>
    <col min="10778" max="11008" width="9" style="2"/>
    <col min="11009" max="11011" width="3.125" style="2" customWidth="1"/>
    <col min="11012" max="11012" width="16.625" style="2" customWidth="1"/>
    <col min="11013" max="11013" width="14.125" style="2" customWidth="1"/>
    <col min="11014" max="11015" width="3.125" style="2" customWidth="1"/>
    <col min="11016" max="11016" width="16.625" style="2" customWidth="1"/>
    <col min="11017" max="11017" width="14.125" style="2" customWidth="1"/>
    <col min="11018" max="11019" width="3.125" style="2" customWidth="1"/>
    <col min="11020" max="11020" width="16.625" style="2" customWidth="1"/>
    <col min="11021" max="11021" width="14.125" style="2" customWidth="1"/>
    <col min="11022" max="11023" width="3.125" style="2" customWidth="1"/>
    <col min="11024" max="11024" width="16.625" style="2" customWidth="1"/>
    <col min="11025" max="11025" width="14.125" style="2" customWidth="1"/>
    <col min="11026" max="11027" width="3.125" style="2" customWidth="1"/>
    <col min="11028" max="11028" width="16.625" style="2" customWidth="1"/>
    <col min="11029" max="11029" width="14.125" style="2" customWidth="1"/>
    <col min="11030" max="11030" width="3.5" style="2" customWidth="1"/>
    <col min="11031" max="11031" width="3.125" style="2" customWidth="1"/>
    <col min="11032" max="11032" width="16.625" style="2" customWidth="1"/>
    <col min="11033" max="11033" width="13.75" style="2" customWidth="1"/>
    <col min="11034" max="11264" width="9" style="2"/>
    <col min="11265" max="11267" width="3.125" style="2" customWidth="1"/>
    <col min="11268" max="11268" width="16.625" style="2" customWidth="1"/>
    <col min="11269" max="11269" width="14.125" style="2" customWidth="1"/>
    <col min="11270" max="11271" width="3.125" style="2" customWidth="1"/>
    <col min="11272" max="11272" width="16.625" style="2" customWidth="1"/>
    <col min="11273" max="11273" width="14.125" style="2" customWidth="1"/>
    <col min="11274" max="11275" width="3.125" style="2" customWidth="1"/>
    <col min="11276" max="11276" width="16.625" style="2" customWidth="1"/>
    <col min="11277" max="11277" width="14.125" style="2" customWidth="1"/>
    <col min="11278" max="11279" width="3.125" style="2" customWidth="1"/>
    <col min="11280" max="11280" width="16.625" style="2" customWidth="1"/>
    <col min="11281" max="11281" width="14.125" style="2" customWidth="1"/>
    <col min="11282" max="11283" width="3.125" style="2" customWidth="1"/>
    <col min="11284" max="11284" width="16.625" style="2" customWidth="1"/>
    <col min="11285" max="11285" width="14.125" style="2" customWidth="1"/>
    <col min="11286" max="11286" width="3.5" style="2" customWidth="1"/>
    <col min="11287" max="11287" width="3.125" style="2" customWidth="1"/>
    <col min="11288" max="11288" width="16.625" style="2" customWidth="1"/>
    <col min="11289" max="11289" width="13.75" style="2" customWidth="1"/>
    <col min="11290" max="11520" width="9" style="2"/>
    <col min="11521" max="11523" width="3.125" style="2" customWidth="1"/>
    <col min="11524" max="11524" width="16.625" style="2" customWidth="1"/>
    <col min="11525" max="11525" width="14.125" style="2" customWidth="1"/>
    <col min="11526" max="11527" width="3.125" style="2" customWidth="1"/>
    <col min="11528" max="11528" width="16.625" style="2" customWidth="1"/>
    <col min="11529" max="11529" width="14.125" style="2" customWidth="1"/>
    <col min="11530" max="11531" width="3.125" style="2" customWidth="1"/>
    <col min="11532" max="11532" width="16.625" style="2" customWidth="1"/>
    <col min="11533" max="11533" width="14.125" style="2" customWidth="1"/>
    <col min="11534" max="11535" width="3.125" style="2" customWidth="1"/>
    <col min="11536" max="11536" width="16.625" style="2" customWidth="1"/>
    <col min="11537" max="11537" width="14.125" style="2" customWidth="1"/>
    <col min="11538" max="11539" width="3.125" style="2" customWidth="1"/>
    <col min="11540" max="11540" width="16.625" style="2" customWidth="1"/>
    <col min="11541" max="11541" width="14.125" style="2" customWidth="1"/>
    <col min="11542" max="11542" width="3.5" style="2" customWidth="1"/>
    <col min="11543" max="11543" width="3.125" style="2" customWidth="1"/>
    <col min="11544" max="11544" width="16.625" style="2" customWidth="1"/>
    <col min="11545" max="11545" width="13.75" style="2" customWidth="1"/>
    <col min="11546" max="11776" width="9" style="2"/>
    <col min="11777" max="11779" width="3.125" style="2" customWidth="1"/>
    <col min="11780" max="11780" width="16.625" style="2" customWidth="1"/>
    <col min="11781" max="11781" width="14.125" style="2" customWidth="1"/>
    <col min="11782" max="11783" width="3.125" style="2" customWidth="1"/>
    <col min="11784" max="11784" width="16.625" style="2" customWidth="1"/>
    <col min="11785" max="11785" width="14.125" style="2" customWidth="1"/>
    <col min="11786" max="11787" width="3.125" style="2" customWidth="1"/>
    <col min="11788" max="11788" width="16.625" style="2" customWidth="1"/>
    <col min="11789" max="11789" width="14.125" style="2" customWidth="1"/>
    <col min="11790" max="11791" width="3.125" style="2" customWidth="1"/>
    <col min="11792" max="11792" width="16.625" style="2" customWidth="1"/>
    <col min="11793" max="11793" width="14.125" style="2" customWidth="1"/>
    <col min="11794" max="11795" width="3.125" style="2" customWidth="1"/>
    <col min="11796" max="11796" width="16.625" style="2" customWidth="1"/>
    <col min="11797" max="11797" width="14.125" style="2" customWidth="1"/>
    <col min="11798" max="11798" width="3.5" style="2" customWidth="1"/>
    <col min="11799" max="11799" width="3.125" style="2" customWidth="1"/>
    <col min="11800" max="11800" width="16.625" style="2" customWidth="1"/>
    <col min="11801" max="11801" width="13.75" style="2" customWidth="1"/>
    <col min="11802" max="12032" width="9" style="2"/>
    <col min="12033" max="12035" width="3.125" style="2" customWidth="1"/>
    <col min="12036" max="12036" width="16.625" style="2" customWidth="1"/>
    <col min="12037" max="12037" width="14.125" style="2" customWidth="1"/>
    <col min="12038" max="12039" width="3.125" style="2" customWidth="1"/>
    <col min="12040" max="12040" width="16.625" style="2" customWidth="1"/>
    <col min="12041" max="12041" width="14.125" style="2" customWidth="1"/>
    <col min="12042" max="12043" width="3.125" style="2" customWidth="1"/>
    <col min="12044" max="12044" width="16.625" style="2" customWidth="1"/>
    <col min="12045" max="12045" width="14.125" style="2" customWidth="1"/>
    <col min="12046" max="12047" width="3.125" style="2" customWidth="1"/>
    <col min="12048" max="12048" width="16.625" style="2" customWidth="1"/>
    <col min="12049" max="12049" width="14.125" style="2" customWidth="1"/>
    <col min="12050" max="12051" width="3.125" style="2" customWidth="1"/>
    <col min="12052" max="12052" width="16.625" style="2" customWidth="1"/>
    <col min="12053" max="12053" width="14.125" style="2" customWidth="1"/>
    <col min="12054" max="12054" width="3.5" style="2" customWidth="1"/>
    <col min="12055" max="12055" width="3.125" style="2" customWidth="1"/>
    <col min="12056" max="12056" width="16.625" style="2" customWidth="1"/>
    <col min="12057" max="12057" width="13.75" style="2" customWidth="1"/>
    <col min="12058" max="12288" width="9" style="2"/>
    <col min="12289" max="12291" width="3.125" style="2" customWidth="1"/>
    <col min="12292" max="12292" width="16.625" style="2" customWidth="1"/>
    <col min="12293" max="12293" width="14.125" style="2" customWidth="1"/>
    <col min="12294" max="12295" width="3.125" style="2" customWidth="1"/>
    <col min="12296" max="12296" width="16.625" style="2" customWidth="1"/>
    <col min="12297" max="12297" width="14.125" style="2" customWidth="1"/>
    <col min="12298" max="12299" width="3.125" style="2" customWidth="1"/>
    <col min="12300" max="12300" width="16.625" style="2" customWidth="1"/>
    <col min="12301" max="12301" width="14.125" style="2" customWidth="1"/>
    <col min="12302" max="12303" width="3.125" style="2" customWidth="1"/>
    <col min="12304" max="12304" width="16.625" style="2" customWidth="1"/>
    <col min="12305" max="12305" width="14.125" style="2" customWidth="1"/>
    <col min="12306" max="12307" width="3.125" style="2" customWidth="1"/>
    <col min="12308" max="12308" width="16.625" style="2" customWidth="1"/>
    <col min="12309" max="12309" width="14.125" style="2" customWidth="1"/>
    <col min="12310" max="12310" width="3.5" style="2" customWidth="1"/>
    <col min="12311" max="12311" width="3.125" style="2" customWidth="1"/>
    <col min="12312" max="12312" width="16.625" style="2" customWidth="1"/>
    <col min="12313" max="12313" width="13.75" style="2" customWidth="1"/>
    <col min="12314" max="12544" width="9" style="2"/>
    <col min="12545" max="12547" width="3.125" style="2" customWidth="1"/>
    <col min="12548" max="12548" width="16.625" style="2" customWidth="1"/>
    <col min="12549" max="12549" width="14.125" style="2" customWidth="1"/>
    <col min="12550" max="12551" width="3.125" style="2" customWidth="1"/>
    <col min="12552" max="12552" width="16.625" style="2" customWidth="1"/>
    <col min="12553" max="12553" width="14.125" style="2" customWidth="1"/>
    <col min="12554" max="12555" width="3.125" style="2" customWidth="1"/>
    <col min="12556" max="12556" width="16.625" style="2" customWidth="1"/>
    <col min="12557" max="12557" width="14.125" style="2" customWidth="1"/>
    <col min="12558" max="12559" width="3.125" style="2" customWidth="1"/>
    <col min="12560" max="12560" width="16.625" style="2" customWidth="1"/>
    <col min="12561" max="12561" width="14.125" style="2" customWidth="1"/>
    <col min="12562" max="12563" width="3.125" style="2" customWidth="1"/>
    <col min="12564" max="12564" width="16.625" style="2" customWidth="1"/>
    <col min="12565" max="12565" width="14.125" style="2" customWidth="1"/>
    <col min="12566" max="12566" width="3.5" style="2" customWidth="1"/>
    <col min="12567" max="12567" width="3.125" style="2" customWidth="1"/>
    <col min="12568" max="12568" width="16.625" style="2" customWidth="1"/>
    <col min="12569" max="12569" width="13.75" style="2" customWidth="1"/>
    <col min="12570" max="12800" width="9" style="2"/>
    <col min="12801" max="12803" width="3.125" style="2" customWidth="1"/>
    <col min="12804" max="12804" width="16.625" style="2" customWidth="1"/>
    <col min="12805" max="12805" width="14.125" style="2" customWidth="1"/>
    <col min="12806" max="12807" width="3.125" style="2" customWidth="1"/>
    <col min="12808" max="12808" width="16.625" style="2" customWidth="1"/>
    <col min="12809" max="12809" width="14.125" style="2" customWidth="1"/>
    <col min="12810" max="12811" width="3.125" style="2" customWidth="1"/>
    <col min="12812" max="12812" width="16.625" style="2" customWidth="1"/>
    <col min="12813" max="12813" width="14.125" style="2" customWidth="1"/>
    <col min="12814" max="12815" width="3.125" style="2" customWidth="1"/>
    <col min="12816" max="12816" width="16.625" style="2" customWidth="1"/>
    <col min="12817" max="12817" width="14.125" style="2" customWidth="1"/>
    <col min="12818" max="12819" width="3.125" style="2" customWidth="1"/>
    <col min="12820" max="12820" width="16.625" style="2" customWidth="1"/>
    <col min="12821" max="12821" width="14.125" style="2" customWidth="1"/>
    <col min="12822" max="12822" width="3.5" style="2" customWidth="1"/>
    <col min="12823" max="12823" width="3.125" style="2" customWidth="1"/>
    <col min="12824" max="12824" width="16.625" style="2" customWidth="1"/>
    <col min="12825" max="12825" width="13.75" style="2" customWidth="1"/>
    <col min="12826" max="13056" width="9" style="2"/>
    <col min="13057" max="13059" width="3.125" style="2" customWidth="1"/>
    <col min="13060" max="13060" width="16.625" style="2" customWidth="1"/>
    <col min="13061" max="13061" width="14.125" style="2" customWidth="1"/>
    <col min="13062" max="13063" width="3.125" style="2" customWidth="1"/>
    <col min="13064" max="13064" width="16.625" style="2" customWidth="1"/>
    <col min="13065" max="13065" width="14.125" style="2" customWidth="1"/>
    <col min="13066" max="13067" width="3.125" style="2" customWidth="1"/>
    <col min="13068" max="13068" width="16.625" style="2" customWidth="1"/>
    <col min="13069" max="13069" width="14.125" style="2" customWidth="1"/>
    <col min="13070" max="13071" width="3.125" style="2" customWidth="1"/>
    <col min="13072" max="13072" width="16.625" style="2" customWidth="1"/>
    <col min="13073" max="13073" width="14.125" style="2" customWidth="1"/>
    <col min="13074" max="13075" width="3.125" style="2" customWidth="1"/>
    <col min="13076" max="13076" width="16.625" style="2" customWidth="1"/>
    <col min="13077" max="13077" width="14.125" style="2" customWidth="1"/>
    <col min="13078" max="13078" width="3.5" style="2" customWidth="1"/>
    <col min="13079" max="13079" width="3.125" style="2" customWidth="1"/>
    <col min="13080" max="13080" width="16.625" style="2" customWidth="1"/>
    <col min="13081" max="13081" width="13.75" style="2" customWidth="1"/>
    <col min="13082" max="13312" width="9" style="2"/>
    <col min="13313" max="13315" width="3.125" style="2" customWidth="1"/>
    <col min="13316" max="13316" width="16.625" style="2" customWidth="1"/>
    <col min="13317" max="13317" width="14.125" style="2" customWidth="1"/>
    <col min="13318" max="13319" width="3.125" style="2" customWidth="1"/>
    <col min="13320" max="13320" width="16.625" style="2" customWidth="1"/>
    <col min="13321" max="13321" width="14.125" style="2" customWidth="1"/>
    <col min="13322" max="13323" width="3.125" style="2" customWidth="1"/>
    <col min="13324" max="13324" width="16.625" style="2" customWidth="1"/>
    <col min="13325" max="13325" width="14.125" style="2" customWidth="1"/>
    <col min="13326" max="13327" width="3.125" style="2" customWidth="1"/>
    <col min="13328" max="13328" width="16.625" style="2" customWidth="1"/>
    <col min="13329" max="13329" width="14.125" style="2" customWidth="1"/>
    <col min="13330" max="13331" width="3.125" style="2" customWidth="1"/>
    <col min="13332" max="13332" width="16.625" style="2" customWidth="1"/>
    <col min="13333" max="13333" width="14.125" style="2" customWidth="1"/>
    <col min="13334" max="13334" width="3.5" style="2" customWidth="1"/>
    <col min="13335" max="13335" width="3.125" style="2" customWidth="1"/>
    <col min="13336" max="13336" width="16.625" style="2" customWidth="1"/>
    <col min="13337" max="13337" width="13.75" style="2" customWidth="1"/>
    <col min="13338" max="13568" width="9" style="2"/>
    <col min="13569" max="13571" width="3.125" style="2" customWidth="1"/>
    <col min="13572" max="13572" width="16.625" style="2" customWidth="1"/>
    <col min="13573" max="13573" width="14.125" style="2" customWidth="1"/>
    <col min="13574" max="13575" width="3.125" style="2" customWidth="1"/>
    <col min="13576" max="13576" width="16.625" style="2" customWidth="1"/>
    <col min="13577" max="13577" width="14.125" style="2" customWidth="1"/>
    <col min="13578" max="13579" width="3.125" style="2" customWidth="1"/>
    <col min="13580" max="13580" width="16.625" style="2" customWidth="1"/>
    <col min="13581" max="13581" width="14.125" style="2" customWidth="1"/>
    <col min="13582" max="13583" width="3.125" style="2" customWidth="1"/>
    <col min="13584" max="13584" width="16.625" style="2" customWidth="1"/>
    <col min="13585" max="13585" width="14.125" style="2" customWidth="1"/>
    <col min="13586" max="13587" width="3.125" style="2" customWidth="1"/>
    <col min="13588" max="13588" width="16.625" style="2" customWidth="1"/>
    <col min="13589" max="13589" width="14.125" style="2" customWidth="1"/>
    <col min="13590" max="13590" width="3.5" style="2" customWidth="1"/>
    <col min="13591" max="13591" width="3.125" style="2" customWidth="1"/>
    <col min="13592" max="13592" width="16.625" style="2" customWidth="1"/>
    <col min="13593" max="13593" width="13.75" style="2" customWidth="1"/>
    <col min="13594" max="13824" width="9" style="2"/>
    <col min="13825" max="13827" width="3.125" style="2" customWidth="1"/>
    <col min="13828" max="13828" width="16.625" style="2" customWidth="1"/>
    <col min="13829" max="13829" width="14.125" style="2" customWidth="1"/>
    <col min="13830" max="13831" width="3.125" style="2" customWidth="1"/>
    <col min="13832" max="13832" width="16.625" style="2" customWidth="1"/>
    <col min="13833" max="13833" width="14.125" style="2" customWidth="1"/>
    <col min="13834" max="13835" width="3.125" style="2" customWidth="1"/>
    <col min="13836" max="13836" width="16.625" style="2" customWidth="1"/>
    <col min="13837" max="13837" width="14.125" style="2" customWidth="1"/>
    <col min="13838" max="13839" width="3.125" style="2" customWidth="1"/>
    <col min="13840" max="13840" width="16.625" style="2" customWidth="1"/>
    <col min="13841" max="13841" width="14.125" style="2" customWidth="1"/>
    <col min="13842" max="13843" width="3.125" style="2" customWidth="1"/>
    <col min="13844" max="13844" width="16.625" style="2" customWidth="1"/>
    <col min="13845" max="13845" width="14.125" style="2" customWidth="1"/>
    <col min="13846" max="13846" width="3.5" style="2" customWidth="1"/>
    <col min="13847" max="13847" width="3.125" style="2" customWidth="1"/>
    <col min="13848" max="13848" width="16.625" style="2" customWidth="1"/>
    <col min="13849" max="13849" width="13.75" style="2" customWidth="1"/>
    <col min="13850" max="14080" width="9" style="2"/>
    <col min="14081" max="14083" width="3.125" style="2" customWidth="1"/>
    <col min="14084" max="14084" width="16.625" style="2" customWidth="1"/>
    <col min="14085" max="14085" width="14.125" style="2" customWidth="1"/>
    <col min="14086" max="14087" width="3.125" style="2" customWidth="1"/>
    <col min="14088" max="14088" width="16.625" style="2" customWidth="1"/>
    <col min="14089" max="14089" width="14.125" style="2" customWidth="1"/>
    <col min="14090" max="14091" width="3.125" style="2" customWidth="1"/>
    <col min="14092" max="14092" width="16.625" style="2" customWidth="1"/>
    <col min="14093" max="14093" width="14.125" style="2" customWidth="1"/>
    <col min="14094" max="14095" width="3.125" style="2" customWidth="1"/>
    <col min="14096" max="14096" width="16.625" style="2" customWidth="1"/>
    <col min="14097" max="14097" width="14.125" style="2" customWidth="1"/>
    <col min="14098" max="14099" width="3.125" style="2" customWidth="1"/>
    <col min="14100" max="14100" width="16.625" style="2" customWidth="1"/>
    <col min="14101" max="14101" width="14.125" style="2" customWidth="1"/>
    <col min="14102" max="14102" width="3.5" style="2" customWidth="1"/>
    <col min="14103" max="14103" width="3.125" style="2" customWidth="1"/>
    <col min="14104" max="14104" width="16.625" style="2" customWidth="1"/>
    <col min="14105" max="14105" width="13.75" style="2" customWidth="1"/>
    <col min="14106" max="14336" width="9" style="2"/>
    <col min="14337" max="14339" width="3.125" style="2" customWidth="1"/>
    <col min="14340" max="14340" width="16.625" style="2" customWidth="1"/>
    <col min="14341" max="14341" width="14.125" style="2" customWidth="1"/>
    <col min="14342" max="14343" width="3.125" style="2" customWidth="1"/>
    <col min="14344" max="14344" width="16.625" style="2" customWidth="1"/>
    <col min="14345" max="14345" width="14.125" style="2" customWidth="1"/>
    <col min="14346" max="14347" width="3.125" style="2" customWidth="1"/>
    <col min="14348" max="14348" width="16.625" style="2" customWidth="1"/>
    <col min="14349" max="14349" width="14.125" style="2" customWidth="1"/>
    <col min="14350" max="14351" width="3.125" style="2" customWidth="1"/>
    <col min="14352" max="14352" width="16.625" style="2" customWidth="1"/>
    <col min="14353" max="14353" width="14.125" style="2" customWidth="1"/>
    <col min="14354" max="14355" width="3.125" style="2" customWidth="1"/>
    <col min="14356" max="14356" width="16.625" style="2" customWidth="1"/>
    <col min="14357" max="14357" width="14.125" style="2" customWidth="1"/>
    <col min="14358" max="14358" width="3.5" style="2" customWidth="1"/>
    <col min="14359" max="14359" width="3.125" style="2" customWidth="1"/>
    <col min="14360" max="14360" width="16.625" style="2" customWidth="1"/>
    <col min="14361" max="14361" width="13.75" style="2" customWidth="1"/>
    <col min="14362" max="14592" width="9" style="2"/>
    <col min="14593" max="14595" width="3.125" style="2" customWidth="1"/>
    <col min="14596" max="14596" width="16.625" style="2" customWidth="1"/>
    <col min="14597" max="14597" width="14.125" style="2" customWidth="1"/>
    <col min="14598" max="14599" width="3.125" style="2" customWidth="1"/>
    <col min="14600" max="14600" width="16.625" style="2" customWidth="1"/>
    <col min="14601" max="14601" width="14.125" style="2" customWidth="1"/>
    <col min="14602" max="14603" width="3.125" style="2" customWidth="1"/>
    <col min="14604" max="14604" width="16.625" style="2" customWidth="1"/>
    <col min="14605" max="14605" width="14.125" style="2" customWidth="1"/>
    <col min="14606" max="14607" width="3.125" style="2" customWidth="1"/>
    <col min="14608" max="14608" width="16.625" style="2" customWidth="1"/>
    <col min="14609" max="14609" width="14.125" style="2" customWidth="1"/>
    <col min="14610" max="14611" width="3.125" style="2" customWidth="1"/>
    <col min="14612" max="14612" width="16.625" style="2" customWidth="1"/>
    <col min="14613" max="14613" width="14.125" style="2" customWidth="1"/>
    <col min="14614" max="14614" width="3.5" style="2" customWidth="1"/>
    <col min="14615" max="14615" width="3.125" style="2" customWidth="1"/>
    <col min="14616" max="14616" width="16.625" style="2" customWidth="1"/>
    <col min="14617" max="14617" width="13.75" style="2" customWidth="1"/>
    <col min="14618" max="14848" width="9" style="2"/>
    <col min="14849" max="14851" width="3.125" style="2" customWidth="1"/>
    <col min="14852" max="14852" width="16.625" style="2" customWidth="1"/>
    <col min="14853" max="14853" width="14.125" style="2" customWidth="1"/>
    <col min="14854" max="14855" width="3.125" style="2" customWidth="1"/>
    <col min="14856" max="14856" width="16.625" style="2" customWidth="1"/>
    <col min="14857" max="14857" width="14.125" style="2" customWidth="1"/>
    <col min="14858" max="14859" width="3.125" style="2" customWidth="1"/>
    <col min="14860" max="14860" width="16.625" style="2" customWidth="1"/>
    <col min="14861" max="14861" width="14.125" style="2" customWidth="1"/>
    <col min="14862" max="14863" width="3.125" style="2" customWidth="1"/>
    <col min="14864" max="14864" width="16.625" style="2" customWidth="1"/>
    <col min="14865" max="14865" width="14.125" style="2" customWidth="1"/>
    <col min="14866" max="14867" width="3.125" style="2" customWidth="1"/>
    <col min="14868" max="14868" width="16.625" style="2" customWidth="1"/>
    <col min="14869" max="14869" width="14.125" style="2" customWidth="1"/>
    <col min="14870" max="14870" width="3.5" style="2" customWidth="1"/>
    <col min="14871" max="14871" width="3.125" style="2" customWidth="1"/>
    <col min="14872" max="14872" width="16.625" style="2" customWidth="1"/>
    <col min="14873" max="14873" width="13.75" style="2" customWidth="1"/>
    <col min="14874" max="15104" width="9" style="2"/>
    <col min="15105" max="15107" width="3.125" style="2" customWidth="1"/>
    <col min="15108" max="15108" width="16.625" style="2" customWidth="1"/>
    <col min="15109" max="15109" width="14.125" style="2" customWidth="1"/>
    <col min="15110" max="15111" width="3.125" style="2" customWidth="1"/>
    <col min="15112" max="15112" width="16.625" style="2" customWidth="1"/>
    <col min="15113" max="15113" width="14.125" style="2" customWidth="1"/>
    <col min="15114" max="15115" width="3.125" style="2" customWidth="1"/>
    <col min="15116" max="15116" width="16.625" style="2" customWidth="1"/>
    <col min="15117" max="15117" width="14.125" style="2" customWidth="1"/>
    <col min="15118" max="15119" width="3.125" style="2" customWidth="1"/>
    <col min="15120" max="15120" width="16.625" style="2" customWidth="1"/>
    <col min="15121" max="15121" width="14.125" style="2" customWidth="1"/>
    <col min="15122" max="15123" width="3.125" style="2" customWidth="1"/>
    <col min="15124" max="15124" width="16.625" style="2" customWidth="1"/>
    <col min="15125" max="15125" width="14.125" style="2" customWidth="1"/>
    <col min="15126" max="15126" width="3.5" style="2" customWidth="1"/>
    <col min="15127" max="15127" width="3.125" style="2" customWidth="1"/>
    <col min="15128" max="15128" width="16.625" style="2" customWidth="1"/>
    <col min="15129" max="15129" width="13.75" style="2" customWidth="1"/>
    <col min="15130" max="15360" width="9" style="2"/>
    <col min="15361" max="15363" width="3.125" style="2" customWidth="1"/>
    <col min="15364" max="15364" width="16.625" style="2" customWidth="1"/>
    <col min="15365" max="15365" width="14.125" style="2" customWidth="1"/>
    <col min="15366" max="15367" width="3.125" style="2" customWidth="1"/>
    <col min="15368" max="15368" width="16.625" style="2" customWidth="1"/>
    <col min="15369" max="15369" width="14.125" style="2" customWidth="1"/>
    <col min="15370" max="15371" width="3.125" style="2" customWidth="1"/>
    <col min="15372" max="15372" width="16.625" style="2" customWidth="1"/>
    <col min="15373" max="15373" width="14.125" style="2" customWidth="1"/>
    <col min="15374" max="15375" width="3.125" style="2" customWidth="1"/>
    <col min="15376" max="15376" width="16.625" style="2" customWidth="1"/>
    <col min="15377" max="15377" width="14.125" style="2" customWidth="1"/>
    <col min="15378" max="15379" width="3.125" style="2" customWidth="1"/>
    <col min="15380" max="15380" width="16.625" style="2" customWidth="1"/>
    <col min="15381" max="15381" width="14.125" style="2" customWidth="1"/>
    <col min="15382" max="15382" width="3.5" style="2" customWidth="1"/>
    <col min="15383" max="15383" width="3.125" style="2" customWidth="1"/>
    <col min="15384" max="15384" width="16.625" style="2" customWidth="1"/>
    <col min="15385" max="15385" width="13.75" style="2" customWidth="1"/>
    <col min="15386" max="15616" width="9" style="2"/>
    <col min="15617" max="15619" width="3.125" style="2" customWidth="1"/>
    <col min="15620" max="15620" width="16.625" style="2" customWidth="1"/>
    <col min="15621" max="15621" width="14.125" style="2" customWidth="1"/>
    <col min="15622" max="15623" width="3.125" style="2" customWidth="1"/>
    <col min="15624" max="15624" width="16.625" style="2" customWidth="1"/>
    <col min="15625" max="15625" width="14.125" style="2" customWidth="1"/>
    <col min="15626" max="15627" width="3.125" style="2" customWidth="1"/>
    <col min="15628" max="15628" width="16.625" style="2" customWidth="1"/>
    <col min="15629" max="15629" width="14.125" style="2" customWidth="1"/>
    <col min="15630" max="15631" width="3.125" style="2" customWidth="1"/>
    <col min="15632" max="15632" width="16.625" style="2" customWidth="1"/>
    <col min="15633" max="15633" width="14.125" style="2" customWidth="1"/>
    <col min="15634" max="15635" width="3.125" style="2" customWidth="1"/>
    <col min="15636" max="15636" width="16.625" style="2" customWidth="1"/>
    <col min="15637" max="15637" width="14.125" style="2" customWidth="1"/>
    <col min="15638" max="15638" width="3.5" style="2" customWidth="1"/>
    <col min="15639" max="15639" width="3.125" style="2" customWidth="1"/>
    <col min="15640" max="15640" width="16.625" style="2" customWidth="1"/>
    <col min="15641" max="15641" width="13.75" style="2" customWidth="1"/>
    <col min="15642" max="15872" width="9" style="2"/>
    <col min="15873" max="15875" width="3.125" style="2" customWidth="1"/>
    <col min="15876" max="15876" width="16.625" style="2" customWidth="1"/>
    <col min="15877" max="15877" width="14.125" style="2" customWidth="1"/>
    <col min="15878" max="15879" width="3.125" style="2" customWidth="1"/>
    <col min="15880" max="15880" width="16.625" style="2" customWidth="1"/>
    <col min="15881" max="15881" width="14.125" style="2" customWidth="1"/>
    <col min="15882" max="15883" width="3.125" style="2" customWidth="1"/>
    <col min="15884" max="15884" width="16.625" style="2" customWidth="1"/>
    <col min="15885" max="15885" width="14.125" style="2" customWidth="1"/>
    <col min="15886" max="15887" width="3.125" style="2" customWidth="1"/>
    <col min="15888" max="15888" width="16.625" style="2" customWidth="1"/>
    <col min="15889" max="15889" width="14.125" style="2" customWidth="1"/>
    <col min="15890" max="15891" width="3.125" style="2" customWidth="1"/>
    <col min="15892" max="15892" width="16.625" style="2" customWidth="1"/>
    <col min="15893" max="15893" width="14.125" style="2" customWidth="1"/>
    <col min="15894" max="15894" width="3.5" style="2" customWidth="1"/>
    <col min="15895" max="15895" width="3.125" style="2" customWidth="1"/>
    <col min="15896" max="15896" width="16.625" style="2" customWidth="1"/>
    <col min="15897" max="15897" width="13.75" style="2" customWidth="1"/>
    <col min="15898" max="16128" width="9" style="2"/>
    <col min="16129" max="16131" width="3.125" style="2" customWidth="1"/>
    <col min="16132" max="16132" width="16.625" style="2" customWidth="1"/>
    <col min="16133" max="16133" width="14.125" style="2" customWidth="1"/>
    <col min="16134" max="16135" width="3.125" style="2" customWidth="1"/>
    <col min="16136" max="16136" width="16.625" style="2" customWidth="1"/>
    <col min="16137" max="16137" width="14.125" style="2" customWidth="1"/>
    <col min="16138" max="16139" width="3.125" style="2" customWidth="1"/>
    <col min="16140" max="16140" width="16.625" style="2" customWidth="1"/>
    <col min="16141" max="16141" width="14.125" style="2" customWidth="1"/>
    <col min="16142" max="16143" width="3.125" style="2" customWidth="1"/>
    <col min="16144" max="16144" width="16.625" style="2" customWidth="1"/>
    <col min="16145" max="16145" width="14.125" style="2" customWidth="1"/>
    <col min="16146" max="16147" width="3.125" style="2" customWidth="1"/>
    <col min="16148" max="16148" width="16.625" style="2" customWidth="1"/>
    <col min="16149" max="16149" width="14.125" style="2" customWidth="1"/>
    <col min="16150" max="16150" width="3.5" style="2" customWidth="1"/>
    <col min="16151" max="16151" width="3.125" style="2" customWidth="1"/>
    <col min="16152" max="16152" width="16.625" style="2" customWidth="1"/>
    <col min="16153" max="16153" width="13.75" style="2" customWidth="1"/>
    <col min="16154" max="16384" width="9" style="2"/>
  </cols>
  <sheetData>
    <row r="1" spans="1:25" ht="46.5" customHeight="1">
      <c r="A1" s="222" t="str">
        <f>總表!B1</f>
        <v>基隆市中和國民小學附設幼兒園                                             112學年度第1學期12月份點心單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4"/>
    </row>
    <row r="2" spans="1:25" ht="32.25" customHeight="1" thickBot="1">
      <c r="A2" s="173" t="s">
        <v>1152</v>
      </c>
      <c r="B2" s="174" t="s">
        <v>1153</v>
      </c>
      <c r="C2" s="175" t="s">
        <v>1154</v>
      </c>
      <c r="D2" s="176" t="s">
        <v>1155</v>
      </c>
      <c r="E2" s="177" t="s">
        <v>1156</v>
      </c>
      <c r="F2" s="174" t="s">
        <v>1153</v>
      </c>
      <c r="G2" s="175" t="s">
        <v>1154</v>
      </c>
      <c r="H2" s="176" t="s">
        <v>1155</v>
      </c>
      <c r="I2" s="177" t="s">
        <v>1156</v>
      </c>
      <c r="J2" s="178" t="s">
        <v>1153</v>
      </c>
      <c r="K2" s="179" t="s">
        <v>1154</v>
      </c>
      <c r="L2" s="180" t="s">
        <v>1155</v>
      </c>
      <c r="M2" s="181" t="s">
        <v>1156</v>
      </c>
      <c r="N2" s="174" t="s">
        <v>1153</v>
      </c>
      <c r="O2" s="175" t="s">
        <v>1154</v>
      </c>
      <c r="P2" s="176" t="s">
        <v>1155</v>
      </c>
      <c r="Q2" s="177" t="s">
        <v>1156</v>
      </c>
      <c r="R2" s="174" t="s">
        <v>1153</v>
      </c>
      <c r="S2" s="175" t="s">
        <v>1154</v>
      </c>
      <c r="T2" s="176" t="s">
        <v>1155</v>
      </c>
      <c r="U2" s="182" t="s">
        <v>1156</v>
      </c>
      <c r="V2" s="174" t="s">
        <v>1153</v>
      </c>
      <c r="W2" s="175" t="s">
        <v>1154</v>
      </c>
      <c r="X2" s="176" t="s">
        <v>1155</v>
      </c>
      <c r="Y2" s="182" t="s">
        <v>1156</v>
      </c>
    </row>
    <row r="3" spans="1:25" s="6" customFormat="1" ht="24" customHeight="1" thickBot="1">
      <c r="A3" s="197"/>
      <c r="B3" s="225" t="s">
        <v>1157</v>
      </c>
      <c r="C3" s="226"/>
      <c r="D3" s="226"/>
      <c r="E3" s="227"/>
      <c r="F3" s="226" t="s">
        <v>1158</v>
      </c>
      <c r="G3" s="226"/>
      <c r="H3" s="226"/>
      <c r="I3" s="226"/>
      <c r="J3" s="225" t="s">
        <v>1159</v>
      </c>
      <c r="K3" s="226"/>
      <c r="L3" s="226"/>
      <c r="M3" s="227"/>
      <c r="N3" s="225" t="s">
        <v>1160</v>
      </c>
      <c r="O3" s="226"/>
      <c r="P3" s="226"/>
      <c r="Q3" s="227"/>
      <c r="R3" s="225" t="s">
        <v>1161</v>
      </c>
      <c r="S3" s="226"/>
      <c r="T3" s="226"/>
      <c r="U3" s="227"/>
      <c r="V3" s="226" t="s">
        <v>1162</v>
      </c>
      <c r="W3" s="226"/>
      <c r="X3" s="226"/>
      <c r="Y3" s="227"/>
    </row>
    <row r="4" spans="1:25" ht="14.25" customHeight="1">
      <c r="A4" s="249" t="s">
        <v>1163</v>
      </c>
      <c r="B4" s="250">
        <f>總表!B3</f>
        <v>45257</v>
      </c>
      <c r="C4" s="238" t="s">
        <v>1164</v>
      </c>
      <c r="D4" s="228" t="str">
        <f>IF(IFERROR(LEFT(總表!$D3,SEARCH("+水果",總表!$D3,1)-1),0)=0,"",IFERROR(LEFT(總表!$D3,SEARCH("+水果",總表!$D3,1)-1),0))</f>
        <v/>
      </c>
      <c r="E4" s="183" t="str">
        <f>IF(第一周!$G$8=0,"",第一周!$G$8)</f>
        <v/>
      </c>
      <c r="F4" s="235">
        <f>總表!B4</f>
        <v>45258</v>
      </c>
      <c r="G4" s="238" t="s">
        <v>1164</v>
      </c>
      <c r="H4" s="228" t="str">
        <f>IF(IFERROR(LEFT(總表!$D4,SEARCH("+水果",總表!$D4,1)-1),0)=0,"",IFERROR(LEFT(總表!$D4,SEARCH("+水果",總表!$D4,1)-1),0))</f>
        <v/>
      </c>
      <c r="I4" s="183" t="str">
        <f>IF(第一周!$G$20=0,"",第一周!$G$20)</f>
        <v/>
      </c>
      <c r="J4" s="235">
        <f>總表!B5</f>
        <v>45259</v>
      </c>
      <c r="K4" s="238" t="s">
        <v>1164</v>
      </c>
      <c r="L4" s="240" t="str">
        <f>IF(總表!$D5=0,"",總表!D5)</f>
        <v/>
      </c>
      <c r="M4" s="183" t="str">
        <f>IF(第一周!$G$32=0,"",第一周!$G$32)</f>
        <v/>
      </c>
      <c r="N4" s="235">
        <f>總表!B6</f>
        <v>45260</v>
      </c>
      <c r="O4" s="238" t="s">
        <v>1164</v>
      </c>
      <c r="P4" s="228" t="str">
        <f>IF(IFERROR(LEFT(總表!$D6,SEARCH("+水果",總表!$D6,1)-1),0)=0,"",IFERROR(LEFT(總表!$D6,SEARCH("+水果",總表!$D6,1)-1),0))</f>
        <v/>
      </c>
      <c r="Q4" s="183" t="str">
        <f>IF(第一周!$G$44=0,"",第一周!$G$44)</f>
        <v/>
      </c>
      <c r="R4" s="235">
        <f>總表!B7</f>
        <v>45261</v>
      </c>
      <c r="S4" s="238" t="s">
        <v>1164</v>
      </c>
      <c r="T4" s="228" t="str">
        <f>IF(IFERROR(LEFT(總表!$D7,SEARCH("+水果",總表!$D7,1)-1),0)=0,"",IFERROR(LEFT(總表!$D7,SEARCH("+水果",總表!$D7,1)-1),0))</f>
        <v>香菇豆薯湯</v>
      </c>
      <c r="U4" s="183" t="str">
        <f>IF(第一周!$G$56=0,"",第一周!$G$56)</f>
        <v>生香菇</v>
      </c>
      <c r="V4" s="235">
        <f>總表!B8</f>
        <v>45262</v>
      </c>
      <c r="W4" s="238" t="s">
        <v>1164</v>
      </c>
      <c r="X4" s="228" t="str">
        <f>IF(IFERROR(LEFT(總表!$D8,SEARCH("+水果",總表!$D8,1)-1),0)=0,"",IFERROR(LEFT(總表!$D8,SEARCH("+水果",總表!$D8,1)-1),0))</f>
        <v/>
      </c>
      <c r="Y4" s="183" t="str">
        <f>IF(第一周!$G$68=0,"",第一周!$G$68)</f>
        <v/>
      </c>
    </row>
    <row r="5" spans="1:25" ht="14.25" customHeight="1">
      <c r="A5" s="245"/>
      <c r="B5" s="247"/>
      <c r="C5" s="230"/>
      <c r="D5" s="229"/>
      <c r="E5" s="184" t="str">
        <f>IF(第一周!$G$9=0,"",第一周!$G$9)</f>
        <v/>
      </c>
      <c r="F5" s="236"/>
      <c r="G5" s="230"/>
      <c r="H5" s="229"/>
      <c r="I5" s="184" t="str">
        <f>IF(第一周!$G$21=0,"",第一周!$G$21)</f>
        <v/>
      </c>
      <c r="J5" s="236"/>
      <c r="K5" s="230"/>
      <c r="L5" s="241"/>
      <c r="M5" s="184" t="str">
        <f>IF(第一周!$G$33=0,"",第一周!$G$33)</f>
        <v/>
      </c>
      <c r="N5" s="243"/>
      <c r="O5" s="230"/>
      <c r="P5" s="229"/>
      <c r="Q5" s="184" t="str">
        <f>IF(第一周!$G$45=0,"",第一周!$G$45)</f>
        <v/>
      </c>
      <c r="R5" s="236"/>
      <c r="S5" s="230"/>
      <c r="T5" s="229"/>
      <c r="U5" s="184" t="str">
        <f>IF(第一周!$G$57=0,"",第一周!$G$57)</f>
        <v>豆薯</v>
      </c>
      <c r="V5" s="236"/>
      <c r="W5" s="230"/>
      <c r="X5" s="229"/>
      <c r="Y5" s="184" t="str">
        <f>IF(第一周!$G$69=0,"",第一周!$G$69)</f>
        <v/>
      </c>
    </row>
    <row r="6" spans="1:25" ht="14.25" customHeight="1">
      <c r="A6" s="245"/>
      <c r="B6" s="247"/>
      <c r="C6" s="230"/>
      <c r="D6" s="229"/>
      <c r="E6" s="184" t="str">
        <f>IF(第一周!$G$10=0,"",第一周!$G$10)</f>
        <v/>
      </c>
      <c r="F6" s="236"/>
      <c r="G6" s="230"/>
      <c r="H6" s="229"/>
      <c r="I6" s="184" t="str">
        <f>IF(第一周!$G$22=0,"",第一周!$G$22)</f>
        <v/>
      </c>
      <c r="J6" s="236"/>
      <c r="K6" s="230"/>
      <c r="L6" s="241"/>
      <c r="M6" s="184" t="str">
        <f>IF(第一周!$G$34=0,"",第一周!$G$34)</f>
        <v/>
      </c>
      <c r="N6" s="243"/>
      <c r="O6" s="230"/>
      <c r="P6" s="229"/>
      <c r="Q6" s="184" t="str">
        <f>IF(第一周!$G$46=0,"",第一周!$G$46)</f>
        <v/>
      </c>
      <c r="R6" s="236"/>
      <c r="S6" s="230"/>
      <c r="T6" s="229"/>
      <c r="U6" s="184" t="str">
        <f>IF(第一周!$G$58=0,"",第一周!$G$58)</f>
        <v>肉絲</v>
      </c>
      <c r="V6" s="236"/>
      <c r="W6" s="230"/>
      <c r="X6" s="229"/>
      <c r="Y6" s="184" t="str">
        <f>IF(第一周!$G$70=0,"",第一周!$G$70)</f>
        <v/>
      </c>
    </row>
    <row r="7" spans="1:25" ht="14.25" customHeight="1">
      <c r="A7" s="245"/>
      <c r="B7" s="247"/>
      <c r="C7" s="230"/>
      <c r="D7" s="229"/>
      <c r="E7" s="184" t="str">
        <f>IF(第一周!$I$8=0,"",第一周!$I$8)</f>
        <v/>
      </c>
      <c r="F7" s="236"/>
      <c r="G7" s="230"/>
      <c r="H7" s="229"/>
      <c r="I7" s="184" t="str">
        <f>IF(第一周!$I$20=0,"",第一周!$I$20)</f>
        <v/>
      </c>
      <c r="J7" s="236"/>
      <c r="K7" s="230"/>
      <c r="L7" s="241"/>
      <c r="M7" s="184" t="str">
        <f>IF(第一周!$I$32=0,"",第一周!$I$32)</f>
        <v/>
      </c>
      <c r="N7" s="243"/>
      <c r="O7" s="230"/>
      <c r="P7" s="229"/>
      <c r="Q7" s="184" t="str">
        <f>IF(第一周!$I$44=0,"",第一周!$I$44)</f>
        <v/>
      </c>
      <c r="R7" s="236"/>
      <c r="S7" s="230"/>
      <c r="T7" s="229"/>
      <c r="U7" s="184" t="str">
        <f>IF(第一周!$I$56=0,"",第一周!$I$56)</f>
        <v/>
      </c>
      <c r="V7" s="236"/>
      <c r="W7" s="230"/>
      <c r="X7" s="229"/>
      <c r="Y7" s="184" t="str">
        <f>IF(第一周!$I$68=0,"",第一周!$I$68)</f>
        <v/>
      </c>
    </row>
    <row r="8" spans="1:25" ht="14.25" customHeight="1">
      <c r="A8" s="245"/>
      <c r="B8" s="247"/>
      <c r="C8" s="230"/>
      <c r="D8" s="229"/>
      <c r="E8" s="184" t="str">
        <f>IF(第一周!$I$9=0,"",第一周!$I$9)</f>
        <v/>
      </c>
      <c r="F8" s="236"/>
      <c r="G8" s="230"/>
      <c r="H8" s="229"/>
      <c r="I8" s="184" t="str">
        <f>IF(第一周!$I$21=0,"",第一周!$I$21)</f>
        <v/>
      </c>
      <c r="J8" s="236"/>
      <c r="K8" s="230"/>
      <c r="L8" s="241"/>
      <c r="M8" s="184" t="str">
        <f>IF(第一周!$I$33=0,"",第一周!$I$33)</f>
        <v/>
      </c>
      <c r="N8" s="243"/>
      <c r="O8" s="230"/>
      <c r="P8" s="229"/>
      <c r="Q8" s="184" t="str">
        <f>IF(第一周!$I$45=0,"",第一周!$I$45)</f>
        <v/>
      </c>
      <c r="R8" s="236"/>
      <c r="S8" s="230"/>
      <c r="T8" s="229"/>
      <c r="U8" s="184" t="str">
        <f>IF(第一周!$I$57=0,"",第一周!$I$57)</f>
        <v/>
      </c>
      <c r="V8" s="236"/>
      <c r="W8" s="230"/>
      <c r="X8" s="229"/>
      <c r="Y8" s="184" t="str">
        <f>IF(第一周!$I$69=0,"",第一周!$I$69)</f>
        <v/>
      </c>
    </row>
    <row r="9" spans="1:25" ht="14.25" customHeight="1">
      <c r="A9" s="245"/>
      <c r="B9" s="247"/>
      <c r="C9" s="230"/>
      <c r="D9" s="229"/>
      <c r="E9" s="187" t="str">
        <f>IF(第一周!$I$10=0,"",第一周!$I$10)</f>
        <v/>
      </c>
      <c r="F9" s="236"/>
      <c r="G9" s="230"/>
      <c r="H9" s="229"/>
      <c r="I9" s="187" t="str">
        <f>IF(第一周!$I$22=0,"",第一周!$I$22)</f>
        <v/>
      </c>
      <c r="J9" s="236"/>
      <c r="K9" s="230"/>
      <c r="L9" s="241"/>
      <c r="M9" s="184" t="str">
        <f>IF(第一周!$I$34=0,"",第一周!$I$34)</f>
        <v/>
      </c>
      <c r="N9" s="243"/>
      <c r="O9" s="230"/>
      <c r="P9" s="229"/>
      <c r="Q9" s="187" t="str">
        <f>IF(第一周!$I$46=0,"",第一周!$I$46)</f>
        <v/>
      </c>
      <c r="R9" s="236"/>
      <c r="S9" s="230"/>
      <c r="T9" s="229"/>
      <c r="U9" s="187" t="str">
        <f>IF(第一周!$I$58=0,"",第一周!$I$58)</f>
        <v/>
      </c>
      <c r="V9" s="236"/>
      <c r="W9" s="230"/>
      <c r="X9" s="229"/>
      <c r="Y9" s="187" t="str">
        <f>IF(第一周!$I$70=0,"",第一周!$I$70)</f>
        <v/>
      </c>
    </row>
    <row r="10" spans="1:25" ht="14.25" customHeight="1" thickBot="1">
      <c r="A10" s="245"/>
      <c r="B10" s="247"/>
      <c r="C10" s="239"/>
      <c r="D10" s="186" t="str">
        <f>IF(IFERROR(IF(FIND("+水果",總表!$D3)&gt;0,"水果",""),0)=0,"",IFERROR(IF(FIND("+水果",總表!$D3)&gt;0,"水果",""),0))</f>
        <v/>
      </c>
      <c r="E10" s="185" t="str">
        <f>D10</f>
        <v/>
      </c>
      <c r="F10" s="236"/>
      <c r="G10" s="239"/>
      <c r="H10" s="186" t="str">
        <f>IF(IFERROR(IF(FIND("+水果",總表!$D4)&gt;0,"水果",""),0)=0,"",IFERROR(IF(FIND("+水果",總表!$D4)&gt;0,"水果",""),0))</f>
        <v/>
      </c>
      <c r="I10" s="185" t="str">
        <f>H10</f>
        <v/>
      </c>
      <c r="J10" s="236"/>
      <c r="K10" s="239"/>
      <c r="L10" s="242"/>
      <c r="M10" s="184"/>
      <c r="N10" s="243"/>
      <c r="O10" s="239"/>
      <c r="P10" s="186" t="str">
        <f>IF(IFERROR(IF(FIND("+水果",總表!$D6)&gt;0,"水果",""),0)=0,"",IFERROR(IF(FIND("+水果",總表!$D6)&gt;0,"水果",""),0))</f>
        <v/>
      </c>
      <c r="Q10" s="185" t="str">
        <f>P10</f>
        <v/>
      </c>
      <c r="R10" s="236"/>
      <c r="S10" s="239"/>
      <c r="T10" s="186" t="str">
        <f>IF(IFERROR(IF(FIND("+水果",總表!$D7)&gt;0,"水果",""),0)=0,"",IFERROR(IF(FIND("+水果",總表!$D7)&gt;0,"水果",""),0))</f>
        <v>水果</v>
      </c>
      <c r="U10" s="185" t="str">
        <f>T10</f>
        <v>水果</v>
      </c>
      <c r="V10" s="236"/>
      <c r="W10" s="239"/>
      <c r="X10" s="186" t="str">
        <f>IF(IFERROR(IF(FIND("+水果",總表!$D8)&gt;0,"水果",""),0)=0,"",IFERROR(IF(FIND("+水果",總表!$D8)&gt;0,"水果",""),0))</f>
        <v/>
      </c>
      <c r="Y10" s="185" t="str">
        <f>X10</f>
        <v/>
      </c>
    </row>
    <row r="11" spans="1:25" ht="14.25" customHeight="1" thickTop="1">
      <c r="A11" s="245"/>
      <c r="B11" s="247"/>
      <c r="C11" s="230" t="s">
        <v>1165</v>
      </c>
      <c r="D11" s="232" t="str">
        <f>IF(總表!E3=0,"",總表!E3)</f>
        <v/>
      </c>
      <c r="E11" s="198" t="str">
        <f>IF(第一周!$G$15=0,"",第一周!$G$15)</f>
        <v/>
      </c>
      <c r="F11" s="236"/>
      <c r="G11" s="230" t="s">
        <v>1165</v>
      </c>
      <c r="H11" s="232" t="str">
        <f>IF(總表!$E4=0,"",總表!$E4)</f>
        <v/>
      </c>
      <c r="I11" s="198" t="str">
        <f>IF(第一周!$G$29=0,"",第一周!$G$29)</f>
        <v/>
      </c>
      <c r="J11" s="236"/>
      <c r="K11" s="230" t="s">
        <v>1165</v>
      </c>
      <c r="L11" s="232" t="str">
        <f>IF(總表!E5=0,"",總表!E5)</f>
        <v/>
      </c>
      <c r="M11" s="198" t="str">
        <f>IF(第一周!$G$38=0,"",第一周!$G$38)</f>
        <v/>
      </c>
      <c r="N11" s="243"/>
      <c r="O11" s="230" t="s">
        <v>1165</v>
      </c>
      <c r="P11" s="232" t="str">
        <f>IF(總表!$E6=0,"",總表!$E6)</f>
        <v/>
      </c>
      <c r="Q11" s="198" t="str">
        <f>IF(第一周!$G$51=0,"",第一周!$G$51)</f>
        <v/>
      </c>
      <c r="R11" s="236"/>
      <c r="S11" s="230" t="s">
        <v>1165</v>
      </c>
      <c r="T11" s="232" t="str">
        <f>IF(總表!$E7=0,"",總表!$E7)</f>
        <v>玉米排骨湯</v>
      </c>
      <c r="U11" s="198" t="str">
        <f>IF(第一周!$G$62=0,"",第一周!$G$62)</f>
        <v>小排丁</v>
      </c>
      <c r="V11" s="236"/>
      <c r="W11" s="230" t="s">
        <v>1165</v>
      </c>
      <c r="X11" s="232" t="str">
        <f>IF(總表!$E8=0,"",總表!$E8)</f>
        <v/>
      </c>
      <c r="Y11" s="198" t="str">
        <f>IF(第一周!$G$74=0,"",第一周!$G$74)</f>
        <v/>
      </c>
    </row>
    <row r="12" spans="1:25" ht="14.25" customHeight="1">
      <c r="A12" s="245"/>
      <c r="B12" s="247"/>
      <c r="C12" s="230"/>
      <c r="D12" s="233"/>
      <c r="E12" s="184" t="str">
        <f>IF(第一周!$G$16=0,"",第一周!$G$16)</f>
        <v/>
      </c>
      <c r="F12" s="236"/>
      <c r="G12" s="230"/>
      <c r="H12" s="233"/>
      <c r="I12" s="184" t="str">
        <f>IF(第一周!$G$26=0,"",第一周!$G$26)</f>
        <v/>
      </c>
      <c r="J12" s="236"/>
      <c r="K12" s="230"/>
      <c r="L12" s="233"/>
      <c r="M12" s="184" t="str">
        <f>IF(第一周!$G$39=0,"",第一周!$G$39)</f>
        <v/>
      </c>
      <c r="N12" s="243"/>
      <c r="O12" s="230"/>
      <c r="P12" s="233"/>
      <c r="Q12" s="184" t="str">
        <f>IF(第一周!$G$50=0,"",第一周!$G$50)</f>
        <v/>
      </c>
      <c r="R12" s="236"/>
      <c r="S12" s="230"/>
      <c r="T12" s="233"/>
      <c r="U12" s="184" t="str">
        <f>IF(第一周!$G$63=0,"",第一周!$G$63)</f>
        <v>新鮮玉米</v>
      </c>
      <c r="V12" s="236"/>
      <c r="W12" s="230"/>
      <c r="X12" s="233"/>
      <c r="Y12" s="184" t="str">
        <f>IF(第一周!$G$75=0,"",第一周!$G$75)</f>
        <v/>
      </c>
    </row>
    <row r="13" spans="1:25" ht="14.25" customHeight="1">
      <c r="A13" s="245"/>
      <c r="B13" s="247"/>
      <c r="C13" s="230"/>
      <c r="D13" s="233"/>
      <c r="E13" s="184" t="str">
        <f>IF(第一周!$G$14=0,"",第一周!$G$14)</f>
        <v/>
      </c>
      <c r="F13" s="236"/>
      <c r="G13" s="230"/>
      <c r="H13" s="233"/>
      <c r="I13" s="184" t="str">
        <f>IF(第一周!$G$27=0,"",第一周!$G$27)</f>
        <v/>
      </c>
      <c r="J13" s="236"/>
      <c r="K13" s="230"/>
      <c r="L13" s="233"/>
      <c r="M13" s="184" t="str">
        <f>IF(第一周!$G$41=0,"",第一周!$G$41)</f>
        <v/>
      </c>
      <c r="N13" s="243"/>
      <c r="O13" s="230"/>
      <c r="P13" s="233"/>
      <c r="Q13" s="184" t="str">
        <f>IF(第一周!$G$53=0,"",第一周!$G$53)</f>
        <v/>
      </c>
      <c r="R13" s="236"/>
      <c r="S13" s="230"/>
      <c r="T13" s="233"/>
      <c r="U13" s="184" t="str">
        <f>IF(第一周!$G$64=0,"",第一周!$G$64)</f>
        <v>香菜</v>
      </c>
      <c r="V13" s="236"/>
      <c r="W13" s="230"/>
      <c r="X13" s="233"/>
      <c r="Y13" s="184" t="str">
        <f>IF(第一周!$G$76=0,"",第一周!$G$76)</f>
        <v/>
      </c>
    </row>
    <row r="14" spans="1:25" ht="14.25" customHeight="1">
      <c r="A14" s="245"/>
      <c r="B14" s="247"/>
      <c r="C14" s="230"/>
      <c r="D14" s="233"/>
      <c r="E14" s="184" t="str">
        <f>IF(第一周!$G$17=0,"",第一周!$G$17)</f>
        <v/>
      </c>
      <c r="F14" s="236"/>
      <c r="G14" s="230"/>
      <c r="H14" s="233"/>
      <c r="I14" s="184" t="str">
        <f>IF(第一周!$G$28=0,"",第一周!$G$28)</f>
        <v/>
      </c>
      <c r="J14" s="236"/>
      <c r="K14" s="230"/>
      <c r="L14" s="233"/>
      <c r="M14" s="184" t="str">
        <f>IF(第一周!$G$40=0,"",第一周!$G$40)</f>
        <v/>
      </c>
      <c r="N14" s="243"/>
      <c r="O14" s="230"/>
      <c r="P14" s="233"/>
      <c r="Q14" s="184" t="str">
        <f>IF(第一周!$G$52=0,"",第一周!$G$52)</f>
        <v/>
      </c>
      <c r="R14" s="236"/>
      <c r="S14" s="230"/>
      <c r="T14" s="233"/>
      <c r="U14" s="184" t="str">
        <f>IF(第一周!$G$65=0,"",第一周!$G$65)</f>
        <v/>
      </c>
      <c r="V14" s="236"/>
      <c r="W14" s="230"/>
      <c r="X14" s="233"/>
      <c r="Y14" s="184" t="str">
        <f>IF(第一周!$G$77=0,"",第一周!$G$77)</f>
        <v/>
      </c>
    </row>
    <row r="15" spans="1:25" ht="14.25" customHeight="1">
      <c r="A15" s="245"/>
      <c r="B15" s="247"/>
      <c r="C15" s="230"/>
      <c r="D15" s="233"/>
      <c r="E15" s="184" t="str">
        <f>IF(第一周!$G$18=0,"",第一周!$G$18)</f>
        <v/>
      </c>
      <c r="F15" s="236"/>
      <c r="G15" s="230"/>
      <c r="H15" s="233"/>
      <c r="I15" s="184" t="str">
        <f>IF(第一周!$G$30=0,"",第一周!$G$30)</f>
        <v/>
      </c>
      <c r="J15" s="236"/>
      <c r="K15" s="230"/>
      <c r="L15" s="233"/>
      <c r="M15" s="184" t="str">
        <f>IF(第一周!$G$42=0,"",第一周!$G$42)</f>
        <v/>
      </c>
      <c r="N15" s="243"/>
      <c r="O15" s="230"/>
      <c r="P15" s="233"/>
      <c r="Q15" s="184" t="str">
        <f>IF(第一周!$G$54=0,"",第一周!$G$54)</f>
        <v/>
      </c>
      <c r="R15" s="236"/>
      <c r="S15" s="230"/>
      <c r="T15" s="233"/>
      <c r="U15" s="184" t="str">
        <f>IF(第一周!$G$66=0,"",第一周!$G$66)</f>
        <v/>
      </c>
      <c r="V15" s="236"/>
      <c r="W15" s="230"/>
      <c r="X15" s="233"/>
      <c r="Y15" s="184" t="str">
        <f>IF(第一周!$G$78=0,"",第一周!$G$78)</f>
        <v/>
      </c>
    </row>
    <row r="16" spans="1:25" ht="14.25" customHeight="1" thickBot="1">
      <c r="A16" s="246"/>
      <c r="B16" s="248"/>
      <c r="C16" s="231"/>
      <c r="D16" s="234"/>
      <c r="E16" s="188" t="str">
        <f>IF(第一周!$G$19=0,"",第一周!$G$19)</f>
        <v/>
      </c>
      <c r="F16" s="237"/>
      <c r="G16" s="231"/>
      <c r="H16" s="234"/>
      <c r="I16" s="188" t="str">
        <f>IF(第一周!$G$31=0,"",第一周!$G$31)</f>
        <v/>
      </c>
      <c r="J16" s="237"/>
      <c r="K16" s="231"/>
      <c r="L16" s="234"/>
      <c r="M16" s="188" t="str">
        <f>IF(第一周!$G$43=0,"",第一周!$G$43)</f>
        <v/>
      </c>
      <c r="N16" s="244"/>
      <c r="O16" s="231"/>
      <c r="P16" s="234"/>
      <c r="Q16" s="188" t="str">
        <f>IF(第一周!$G$55=0,"",第一周!$G$55)</f>
        <v/>
      </c>
      <c r="R16" s="237"/>
      <c r="S16" s="231"/>
      <c r="T16" s="234"/>
      <c r="U16" s="188" t="str">
        <f>IF(第一周!$G$67=0,"",第一周!$G$67)</f>
        <v/>
      </c>
      <c r="V16" s="237"/>
      <c r="W16" s="231"/>
      <c r="X16" s="234"/>
      <c r="Y16" s="188" t="str">
        <f>IF(第一周!$G$79=0,"",第一周!$G$79)</f>
        <v/>
      </c>
    </row>
    <row r="17" spans="1:25" ht="14.25" customHeight="1">
      <c r="A17" s="245" t="s">
        <v>1166</v>
      </c>
      <c r="B17" s="247">
        <f>B4+7</f>
        <v>45264</v>
      </c>
      <c r="C17" s="230" t="s">
        <v>1164</v>
      </c>
      <c r="D17" s="228" t="str">
        <f>IF(IFERROR(LEFT(總表!$D10,SEARCH("+水果",總表!$D10,1)-1),0)=0,"",IFERROR(LEFT(總表!$D10,SEARCH("+水果",總表!$D10,1)-1),0))</f>
        <v>味噌貢丸豆腐湯</v>
      </c>
      <c r="E17" s="183" t="str">
        <f>IF(第二周!$G$8=0,"",第二周!$G$8)</f>
        <v>味噌</v>
      </c>
      <c r="F17" s="236">
        <f>F4+7</f>
        <v>45265</v>
      </c>
      <c r="G17" s="230" t="s">
        <v>1164</v>
      </c>
      <c r="H17" s="228" t="str">
        <f>IF(IFERROR(LEFT(總表!$D11,SEARCH("+水果",總表!$D11,1)-1),0)=0,"",IFERROR(LEFT(總表!$D11,SEARCH("+水果",總表!$D11,1)-1),0))</f>
        <v>魷魚羹麵</v>
      </c>
      <c r="I17" s="183" t="str">
        <f>IF(第二周!$G$20=0,"",第二周!$G$20)</f>
        <v>魷魚羹</v>
      </c>
      <c r="J17" s="236">
        <f>J4+7</f>
        <v>45266</v>
      </c>
      <c r="K17" s="230" t="s">
        <v>1164</v>
      </c>
      <c r="L17" s="240" t="str">
        <f>IF(總表!$D12=0,"",總表!D12)</f>
        <v>生日蛋糕</v>
      </c>
      <c r="M17" s="183" t="str">
        <f>IF(第二周!$G$32=0,"",第二周!$G$32)</f>
        <v/>
      </c>
      <c r="N17" s="236">
        <f>N4+7</f>
        <v>45267</v>
      </c>
      <c r="O17" s="230" t="s">
        <v>1164</v>
      </c>
      <c r="P17" s="228" t="str">
        <f>IF(IFERROR(LEFT(總表!$D13,SEARCH("+水果",總表!$D13,1)-1),0)=0,"",IFERROR(LEFT(總表!$D13,SEARCH("+水果",總表!$D13,1)-1),0))</f>
        <v>南瓜絞肉粥</v>
      </c>
      <c r="Q17" s="183" t="str">
        <f>IF(第二周!$G$44=0,"",第二周!$G$44)</f>
        <v>豬絞肉</v>
      </c>
      <c r="R17" s="236">
        <f>R4+7</f>
        <v>45268</v>
      </c>
      <c r="S17" s="230" t="s">
        <v>1164</v>
      </c>
      <c r="T17" s="228" t="str">
        <f>IF(IFERROR(LEFT(總表!$D14,SEARCH("+水果",總表!$D14,1)-1),0)=0,"",IFERROR(LEFT(總表!$D14,SEARCH("+水果",總表!$D14,1)-1),0))</f>
        <v>鍋貼</v>
      </c>
      <c r="U17" s="183" t="str">
        <f>IF(第二周!$G$56=0,"",第二周!$G$56)</f>
        <v>鍋貼</v>
      </c>
      <c r="V17" s="236">
        <f>V4+7</f>
        <v>45269</v>
      </c>
      <c r="W17" s="230" t="s">
        <v>1164</v>
      </c>
      <c r="X17" s="228" t="str">
        <f>IF(IFERROR(LEFT(總表!$D15,SEARCH("+水果",總表!$D15,1)-1),0)=0,"",IFERROR(LEFT(總表!$D15,SEARCH("+水果",總表!$D15,1)-1),0))</f>
        <v/>
      </c>
      <c r="Y17" s="183" t="str">
        <f>IF(第二周!$G$68=0,"",第二周!$G$68)</f>
        <v/>
      </c>
    </row>
    <row r="18" spans="1:25" ht="14.25" customHeight="1">
      <c r="A18" s="245"/>
      <c r="B18" s="247"/>
      <c r="C18" s="230"/>
      <c r="D18" s="229"/>
      <c r="E18" s="184" t="str">
        <f>IF(第二周!$G$9=0,"",第二周!$G$9)</f>
        <v>貢丸</v>
      </c>
      <c r="F18" s="236"/>
      <c r="G18" s="230"/>
      <c r="H18" s="229"/>
      <c r="I18" s="184" t="str">
        <f>IF(第二周!$G$21=0,"",第二周!$G$21)</f>
        <v>細烏龍麵</v>
      </c>
      <c r="J18" s="236"/>
      <c r="K18" s="230"/>
      <c r="L18" s="241"/>
      <c r="M18" s="184" t="str">
        <f>IF(第二周!$G$33=0,"",第二周!$G$33)</f>
        <v/>
      </c>
      <c r="N18" s="236"/>
      <c r="O18" s="230"/>
      <c r="P18" s="229"/>
      <c r="Q18" s="184" t="str">
        <f>IF(第二周!$G$45=0,"",第二周!$G$45)</f>
        <v>南瓜</v>
      </c>
      <c r="R18" s="236"/>
      <c r="S18" s="230"/>
      <c r="T18" s="229"/>
      <c r="U18" s="184" t="str">
        <f>IF(第二周!$G$57=0,"",第二周!$G$57)</f>
        <v/>
      </c>
      <c r="V18" s="236"/>
      <c r="W18" s="230"/>
      <c r="X18" s="229"/>
      <c r="Y18" s="184" t="str">
        <f>IF(第二周!$G$69=0,"",第二周!$G$69)</f>
        <v/>
      </c>
    </row>
    <row r="19" spans="1:25" ht="14.25" customHeight="1">
      <c r="A19" s="245"/>
      <c r="B19" s="247"/>
      <c r="C19" s="230"/>
      <c r="D19" s="229"/>
      <c r="E19" s="184" t="str">
        <f>IF(第二周!$G$10=0,"",第二周!$G$10)</f>
        <v>海帶芽</v>
      </c>
      <c r="F19" s="236"/>
      <c r="G19" s="230"/>
      <c r="H19" s="229"/>
      <c r="I19" s="184" t="str">
        <f>IF(第二周!$G$22=0,"",第二周!$G$22)</f>
        <v>高麗菜</v>
      </c>
      <c r="J19" s="236"/>
      <c r="K19" s="230"/>
      <c r="L19" s="241"/>
      <c r="M19" s="184" t="str">
        <f>IF(第二周!$G$34=0,"",第二周!$G$34)</f>
        <v/>
      </c>
      <c r="N19" s="236"/>
      <c r="O19" s="230"/>
      <c r="P19" s="229"/>
      <c r="Q19" s="184" t="str">
        <f>IF(第二周!$G$46=0,"",第二周!$G$46)</f>
        <v>白米</v>
      </c>
      <c r="R19" s="236"/>
      <c r="S19" s="230"/>
      <c r="T19" s="229"/>
      <c r="U19" s="184" t="str">
        <f>IF(第二周!$G$58=0,"",第二周!$G$58)</f>
        <v/>
      </c>
      <c r="V19" s="236"/>
      <c r="W19" s="230"/>
      <c r="X19" s="229"/>
      <c r="Y19" s="184" t="str">
        <f>IF(第二周!$G$70=0,"",第二周!$G$70)</f>
        <v/>
      </c>
    </row>
    <row r="20" spans="1:25" ht="14.25" customHeight="1">
      <c r="A20" s="245"/>
      <c r="B20" s="247"/>
      <c r="C20" s="230"/>
      <c r="D20" s="229"/>
      <c r="E20" s="184" t="str">
        <f>IF(第二周!$I$8=0,"",第二周!$I$8)</f>
        <v>板豆腐</v>
      </c>
      <c r="F20" s="236"/>
      <c r="G20" s="230"/>
      <c r="H20" s="229"/>
      <c r="I20" s="184" t="str">
        <f>IF(第二周!$I$20=0,"",第二周!$I$20)</f>
        <v>蒜酥</v>
      </c>
      <c r="J20" s="236"/>
      <c r="K20" s="230"/>
      <c r="L20" s="241"/>
      <c r="M20" s="184" t="str">
        <f>IF(第二周!$I$32=0,"",第二周!$I$32)</f>
        <v/>
      </c>
      <c r="N20" s="236"/>
      <c r="O20" s="230"/>
      <c r="P20" s="229"/>
      <c r="Q20" s="184" t="str">
        <f>IF(第二周!$I$44=0,"",第二周!$I$44)</f>
        <v>薑絲</v>
      </c>
      <c r="R20" s="236"/>
      <c r="S20" s="230"/>
      <c r="T20" s="229"/>
      <c r="U20" s="184" t="str">
        <f>IF(第二周!$I$56=0,"",第二周!$I$56)</f>
        <v/>
      </c>
      <c r="V20" s="236"/>
      <c r="W20" s="230"/>
      <c r="X20" s="229"/>
      <c r="Y20" s="184" t="str">
        <f>IF(第二周!$I$68=0,"",第二周!$I$68)</f>
        <v/>
      </c>
    </row>
    <row r="21" spans="1:25" ht="14.25" customHeight="1">
      <c r="A21" s="245"/>
      <c r="B21" s="247"/>
      <c r="C21" s="230"/>
      <c r="D21" s="229"/>
      <c r="E21" s="184" t="str">
        <f>IF(第二周!$I$9=0,"",第二周!$I$9)</f>
        <v>柴魚片</v>
      </c>
      <c r="F21" s="236"/>
      <c r="G21" s="230"/>
      <c r="H21" s="229"/>
      <c r="I21" s="184" t="str">
        <f>IF(第二周!$I$21=0,"",第二周!$I$21)</f>
        <v>柴魚片</v>
      </c>
      <c r="J21" s="236"/>
      <c r="K21" s="230"/>
      <c r="L21" s="241"/>
      <c r="M21" s="184" t="str">
        <f>IF(第二周!$I$33=0,"",第二周!$I$33)</f>
        <v/>
      </c>
      <c r="N21" s="236"/>
      <c r="O21" s="230"/>
      <c r="P21" s="229"/>
      <c r="Q21" s="184" t="str">
        <f>IF(第二周!$I$45=0,"",第二周!$I$45)</f>
        <v/>
      </c>
      <c r="R21" s="236"/>
      <c r="S21" s="230"/>
      <c r="T21" s="229"/>
      <c r="U21" s="184" t="str">
        <f>IF(第二周!$I$57=0,"",第二周!$I$57)</f>
        <v/>
      </c>
      <c r="V21" s="236"/>
      <c r="W21" s="230"/>
      <c r="X21" s="229"/>
      <c r="Y21" s="184" t="str">
        <f>IF(第二周!$I$69=0,"",第二周!$I$69)</f>
        <v/>
      </c>
    </row>
    <row r="22" spans="1:25" ht="14.25" customHeight="1">
      <c r="A22" s="245"/>
      <c r="B22" s="247"/>
      <c r="C22" s="230"/>
      <c r="D22" s="229"/>
      <c r="E22" s="187" t="str">
        <f>IF(第二周!$I$10=0,"",第二周!$I$10)</f>
        <v/>
      </c>
      <c r="F22" s="236"/>
      <c r="G22" s="230"/>
      <c r="H22" s="229"/>
      <c r="I22" s="187" t="str">
        <f>IF(第二周!$I$22=0,"",第二周!$I$22)</f>
        <v>沙茶醬</v>
      </c>
      <c r="J22" s="236"/>
      <c r="K22" s="230"/>
      <c r="L22" s="241"/>
      <c r="M22" s="184" t="str">
        <f>IF(第二周!$I$34=0,"",第二周!$I$34)</f>
        <v/>
      </c>
      <c r="N22" s="236"/>
      <c r="O22" s="230"/>
      <c r="P22" s="229"/>
      <c r="Q22" s="187" t="str">
        <f>IF(第二周!$I$46=0,"",第二周!$I$46)</f>
        <v/>
      </c>
      <c r="R22" s="236"/>
      <c r="S22" s="230"/>
      <c r="T22" s="229"/>
      <c r="U22" s="187" t="str">
        <f>IF(第二周!$I$58=0,"",第二周!$I$58)</f>
        <v/>
      </c>
      <c r="V22" s="236"/>
      <c r="W22" s="230"/>
      <c r="X22" s="229"/>
      <c r="Y22" s="187" t="str">
        <f>IF(第二周!$I$70=0,"",第二周!$I$70)</f>
        <v/>
      </c>
    </row>
    <row r="23" spans="1:25" ht="14.25" customHeight="1" thickBot="1">
      <c r="A23" s="245"/>
      <c r="B23" s="247"/>
      <c r="C23" s="239"/>
      <c r="D23" s="186" t="str">
        <f>IF(IFERROR(IF(FIND("+水果",總表!$D10)&gt;0,"水果",""),0)=0,"",IFERROR(IF(FIND("+水果",總表!$D10)&gt;0,"水果",""),0))</f>
        <v>水果</v>
      </c>
      <c r="E23" s="185" t="str">
        <f>D23</f>
        <v>水果</v>
      </c>
      <c r="F23" s="236"/>
      <c r="G23" s="239"/>
      <c r="H23" s="186" t="str">
        <f>IF(IFERROR(IF(FIND("+水果",總表!$D11)&gt;0,"水果",""),0)=0,"",IFERROR(IF(FIND("+水果",總表!$D11)&gt;0,"水果",""),0))</f>
        <v>水果</v>
      </c>
      <c r="I23" s="185" t="str">
        <f>H23</f>
        <v>水果</v>
      </c>
      <c r="J23" s="236"/>
      <c r="K23" s="239"/>
      <c r="L23" s="242"/>
      <c r="M23" s="184"/>
      <c r="N23" s="236"/>
      <c r="O23" s="239"/>
      <c r="P23" s="186" t="str">
        <f>IF(IFERROR(IF(FIND("+水果",總表!$D13)&gt;0,"水果",""),0)=0,"",IFERROR(IF(FIND("+水果",總表!$D13)&gt;0,"水果",""),0))</f>
        <v>水果</v>
      </c>
      <c r="Q23" s="185" t="str">
        <f>P23</f>
        <v>水果</v>
      </c>
      <c r="R23" s="236"/>
      <c r="S23" s="239"/>
      <c r="T23" s="186" t="str">
        <f>IF(IFERROR(IF(FIND("+水果",總表!$D14)&gt;0,"水果",""),0)=0,"",IFERROR(IF(FIND("+水果",總表!$D14)&gt;0,"水果",""),0))</f>
        <v>水果</v>
      </c>
      <c r="U23" s="185" t="str">
        <f>T23</f>
        <v>水果</v>
      </c>
      <c r="V23" s="236"/>
      <c r="W23" s="239"/>
      <c r="X23" s="186" t="str">
        <f>IF(IFERROR(IF(FIND("+水果",總表!$D15)&gt;0,"水果",""),0)=0,"",IFERROR(IF(FIND("+水果",總表!$D15)&gt;0,"水果",""),0))</f>
        <v/>
      </c>
      <c r="Y23" s="185" t="str">
        <f>X23</f>
        <v/>
      </c>
    </row>
    <row r="24" spans="1:25" ht="14.25" customHeight="1" thickTop="1">
      <c r="A24" s="245"/>
      <c r="B24" s="247"/>
      <c r="C24" s="230" t="s">
        <v>1165</v>
      </c>
      <c r="D24" s="232" t="str">
        <f>IF(總表!$E10=0,"",總表!$E10)</f>
        <v>玉米脆片+鮮奶</v>
      </c>
      <c r="E24" s="198" t="str">
        <f>IF(第二周!$G$17=0,"",第二周!$G$17)</f>
        <v>鮮奶</v>
      </c>
      <c r="F24" s="236"/>
      <c r="G24" s="230" t="s">
        <v>1165</v>
      </c>
      <c r="H24" s="232" t="str">
        <f>IF(總表!$E11=0,"",總表!$E11)</f>
        <v>黑糖豆花</v>
      </c>
      <c r="I24" s="198" t="str">
        <f>IF(第二周!$G$27=0,"",第二周!$G$27)</f>
        <v>熟花生半</v>
      </c>
      <c r="J24" s="236"/>
      <c r="K24" s="230" t="s">
        <v>1165</v>
      </c>
      <c r="L24" s="232" t="str">
        <f>IF(總表!$E12=0,"",總表!$E12)</f>
        <v>大黃瓜雞湯</v>
      </c>
      <c r="M24" s="198" t="str">
        <f>IF(第二周!$G$39=0,"",第二周!$G$39)</f>
        <v>雞腿仁丁</v>
      </c>
      <c r="N24" s="236"/>
      <c r="O24" s="230" t="s">
        <v>1165</v>
      </c>
      <c r="P24" s="232" t="str">
        <f>IF(總表!$E13=0,"",總表!$E13)</f>
        <v>燒賣+麥茶</v>
      </c>
      <c r="Q24" s="198" t="str">
        <f>IF(第二周!$G$50=0,"",第二周!$G$50)</f>
        <v>燒賣</v>
      </c>
      <c r="R24" s="236"/>
      <c r="S24" s="230" t="s">
        <v>1165</v>
      </c>
      <c r="T24" s="232" t="str">
        <f>IF(總表!$E14=0,"",總表!$E14)</f>
        <v>銀耳羹</v>
      </c>
      <c r="U24" s="198" t="str">
        <f>IF(第二周!$G$64=0,"",第二周!$G$64)</f>
        <v>紅棗</v>
      </c>
      <c r="V24" s="236"/>
      <c r="W24" s="230" t="s">
        <v>1165</v>
      </c>
      <c r="X24" s="232" t="str">
        <f>IF(總表!$E15=0,"",總表!$E15)</f>
        <v/>
      </c>
      <c r="Y24" s="198" t="str">
        <f>IF(第二周!$G$74=0,"",第二周!$G$74)</f>
        <v/>
      </c>
    </row>
    <row r="25" spans="1:25" ht="14.25" customHeight="1">
      <c r="A25" s="245"/>
      <c r="B25" s="247"/>
      <c r="C25" s="230"/>
      <c r="D25" s="233"/>
      <c r="E25" s="184" t="str">
        <f>IF(第二周!$G$14=0,"",第二周!$G$14)</f>
        <v>玉米脆片(大)</v>
      </c>
      <c r="F25" s="236"/>
      <c r="G25" s="230"/>
      <c r="H25" s="233"/>
      <c r="I25" s="184" t="str">
        <f>IF(第二周!$G$28=0,"",第二周!$G$28)</f>
        <v>黑糖</v>
      </c>
      <c r="J25" s="236"/>
      <c r="K25" s="230"/>
      <c r="L25" s="233"/>
      <c r="M25" s="184" t="str">
        <f>IF(第二周!$G$40=0,"",第二周!$G$40)</f>
        <v>薑絲</v>
      </c>
      <c r="N25" s="236"/>
      <c r="O25" s="230"/>
      <c r="P25" s="233"/>
      <c r="Q25" s="184" t="str">
        <f>IF(第二周!$G$53=0,"",第二周!$G$53)</f>
        <v>麥茶包</v>
      </c>
      <c r="R25" s="236"/>
      <c r="S25" s="230"/>
      <c r="T25" s="233"/>
      <c r="U25" s="184" t="str">
        <f>IF(第二周!$G$63=0,"",第二周!$G$63)</f>
        <v>枸杞</v>
      </c>
      <c r="V25" s="236"/>
      <c r="W25" s="230"/>
      <c r="X25" s="233"/>
      <c r="Y25" s="184" t="str">
        <f>IF(第二周!$G$75=0,"",第二周!$G$75)</f>
        <v/>
      </c>
    </row>
    <row r="26" spans="1:25" ht="14.25" customHeight="1">
      <c r="A26" s="245"/>
      <c r="B26" s="247"/>
      <c r="C26" s="230"/>
      <c r="D26" s="233"/>
      <c r="E26" s="184" t="str">
        <f>IF(第二周!$G$15=0,"",第二周!$G$15)</f>
        <v/>
      </c>
      <c r="F26" s="236"/>
      <c r="G26" s="230"/>
      <c r="H26" s="233"/>
      <c r="I26" s="184" t="str">
        <f>IF(第二周!$G$26=0,"",第二周!$G$26)</f>
        <v>豆花</v>
      </c>
      <c r="J26" s="236"/>
      <c r="K26" s="230"/>
      <c r="L26" s="233"/>
      <c r="M26" s="184" t="str">
        <f>IF(第二周!$G$38=0,"",第二周!$G$38)</f>
        <v>大黃瓜</v>
      </c>
      <c r="N26" s="236"/>
      <c r="O26" s="230"/>
      <c r="P26" s="233"/>
      <c r="Q26" s="184" t="str">
        <f>IF(第二周!$G$52=0,"",第二周!$G$52)</f>
        <v/>
      </c>
      <c r="R26" s="236"/>
      <c r="S26" s="230"/>
      <c r="T26" s="233"/>
      <c r="U26" s="184" t="str">
        <f>IF(第二周!$G$62=0,"",第二周!$G$62)</f>
        <v>白木耳</v>
      </c>
      <c r="V26" s="236"/>
      <c r="W26" s="230"/>
      <c r="X26" s="233"/>
      <c r="Y26" s="184" t="str">
        <f>IF(第二周!$G$76=0,"",第二周!$G$76)</f>
        <v/>
      </c>
    </row>
    <row r="27" spans="1:25" ht="14.25" customHeight="1">
      <c r="A27" s="245"/>
      <c r="B27" s="247"/>
      <c r="C27" s="230"/>
      <c r="D27" s="233"/>
      <c r="E27" s="184" t="str">
        <f>IF(第二周!$G$16=0,"",第二周!$G$16)</f>
        <v/>
      </c>
      <c r="F27" s="236"/>
      <c r="G27" s="230"/>
      <c r="H27" s="233"/>
      <c r="I27" s="184" t="str">
        <f>IF(第二周!$G$29=0,"",第二周!$G$29)</f>
        <v/>
      </c>
      <c r="J27" s="236"/>
      <c r="K27" s="230"/>
      <c r="L27" s="233"/>
      <c r="M27" s="184" t="str">
        <f>IF(第二周!$G$41=0,"",第二周!$G$41)</f>
        <v/>
      </c>
      <c r="N27" s="236"/>
      <c r="O27" s="230"/>
      <c r="P27" s="233"/>
      <c r="Q27" s="184" t="str">
        <f>IF(第二周!$G$51=0,"",第二周!$G$51)</f>
        <v/>
      </c>
      <c r="R27" s="236"/>
      <c r="S27" s="230"/>
      <c r="T27" s="233"/>
      <c r="U27" s="184" t="str">
        <f>IF(第二周!$G$65=0,"",第二周!$G$65)</f>
        <v/>
      </c>
      <c r="V27" s="236"/>
      <c r="W27" s="230"/>
      <c r="X27" s="233"/>
      <c r="Y27" s="184" t="str">
        <f>IF(第二周!$G$77=0,"",第二周!$G$77)</f>
        <v/>
      </c>
    </row>
    <row r="28" spans="1:25" ht="14.25" customHeight="1">
      <c r="A28" s="245"/>
      <c r="B28" s="247"/>
      <c r="C28" s="230"/>
      <c r="D28" s="233"/>
      <c r="E28" s="184" t="str">
        <f>IF(第二周!$G$18=0,"",第二周!$G$18)</f>
        <v/>
      </c>
      <c r="F28" s="236"/>
      <c r="G28" s="230"/>
      <c r="H28" s="233"/>
      <c r="I28" s="184" t="str">
        <f>IF(第二周!$G$30=0,"",第二周!$G$30)</f>
        <v/>
      </c>
      <c r="J28" s="236"/>
      <c r="K28" s="230"/>
      <c r="L28" s="233"/>
      <c r="M28" s="184" t="str">
        <f>IF(第二周!$G$42=0,"",第二周!$G$42)</f>
        <v/>
      </c>
      <c r="N28" s="236"/>
      <c r="O28" s="230"/>
      <c r="P28" s="233"/>
      <c r="Q28" s="184" t="str">
        <f>IF(第二周!$G$54=0,"",第二周!$G$54)</f>
        <v/>
      </c>
      <c r="R28" s="236"/>
      <c r="S28" s="230"/>
      <c r="T28" s="233"/>
      <c r="U28" s="184" t="str">
        <f>IF(第二周!$G$66=0,"",第二周!$G$66)</f>
        <v/>
      </c>
      <c r="V28" s="236"/>
      <c r="W28" s="230"/>
      <c r="X28" s="233"/>
      <c r="Y28" s="184" t="str">
        <f>IF(第二周!$G$78=0,"",第二周!$G$78)</f>
        <v/>
      </c>
    </row>
    <row r="29" spans="1:25" ht="14.25" customHeight="1" thickBot="1">
      <c r="A29" s="246"/>
      <c r="B29" s="248"/>
      <c r="C29" s="231"/>
      <c r="D29" s="234"/>
      <c r="E29" s="188" t="str">
        <f>IF(第一周!$G$19=0,"",第一周!$G$19)</f>
        <v/>
      </c>
      <c r="F29" s="237"/>
      <c r="G29" s="231"/>
      <c r="H29" s="234"/>
      <c r="I29" s="188" t="str">
        <f>IF(第二周!$G$31=0,"",第二周!$G$31)</f>
        <v/>
      </c>
      <c r="J29" s="237"/>
      <c r="K29" s="231"/>
      <c r="L29" s="234"/>
      <c r="M29" s="188" t="str">
        <f>IF(第二周!$G$43=0,"",第二周!$G$43)</f>
        <v/>
      </c>
      <c r="N29" s="237"/>
      <c r="O29" s="231"/>
      <c r="P29" s="234"/>
      <c r="Q29" s="188" t="str">
        <f>IF(第二周!$G$55=0,"",第二周!$G$55)</f>
        <v/>
      </c>
      <c r="R29" s="237"/>
      <c r="S29" s="231"/>
      <c r="T29" s="234"/>
      <c r="U29" s="188" t="str">
        <f>IF(第二周!$G$67=0,"",第二周!$G$67)</f>
        <v/>
      </c>
      <c r="V29" s="237"/>
      <c r="W29" s="231"/>
      <c r="X29" s="234"/>
      <c r="Y29" s="188" t="str">
        <f>IF(第二周!$G$79=0,"",第二周!$G$79)</f>
        <v/>
      </c>
    </row>
    <row r="30" spans="1:25" ht="14.25" customHeight="1">
      <c r="A30" s="249" t="s">
        <v>1167</v>
      </c>
      <c r="B30" s="250">
        <f>B17+7</f>
        <v>45271</v>
      </c>
      <c r="C30" s="238" t="s">
        <v>1164</v>
      </c>
      <c r="D30" s="228" t="str">
        <f>IF(IFERROR(LEFT(總表!$D$17,SEARCH("+水果",總表!$D$17,1)-1),0)=0,"",IFERROR(LEFT(總表!$D$17,SEARCH("+水果",總表!$D$17,1)-1),0))</f>
        <v>肉燥米粉湯</v>
      </c>
      <c r="E30" s="183" t="str">
        <f>IF(第三周!$G$8=0,"",第三周!$G$8)</f>
        <v>鮮香菇</v>
      </c>
      <c r="F30" s="235">
        <f>F17+7</f>
        <v>45272</v>
      </c>
      <c r="G30" s="238" t="s">
        <v>1164</v>
      </c>
      <c r="H30" s="228" t="str">
        <f>IF(IFERROR(LEFT(總表!$D$18,SEARCH("+水果",總表!$D$18,1)-1),0)=0,"",IFERROR(LEFT(總表!$D$18,SEARCH("+水果",總表!$D$18,1)-1),0))</f>
        <v>番茄蛋麵</v>
      </c>
      <c r="I30" s="183" t="str">
        <f>IF(第三周!$G$20=0,"",第三周!$G$20)</f>
        <v>番茄</v>
      </c>
      <c r="J30" s="235">
        <f>J17+7</f>
        <v>45273</v>
      </c>
      <c r="K30" s="238" t="s">
        <v>1164</v>
      </c>
      <c r="L30" s="240" t="str">
        <f>IF(總表!$D19=0,"",總表!D19)</f>
        <v>巧達濃湯</v>
      </c>
      <c r="M30" s="183" t="str">
        <f>IF(第三周!$G$32=0,"",第三周!$G$32)</f>
        <v>培根</v>
      </c>
      <c r="N30" s="235">
        <f>N17+7</f>
        <v>45274</v>
      </c>
      <c r="O30" s="238" t="s">
        <v>1164</v>
      </c>
      <c r="P30" s="228" t="str">
        <f>IF(IFERROR(LEFT(總表!$D$20,SEARCH("+水果",總表!$D$20,1)-1),0)=0,"",IFERROR(LEFT(總表!$D$20,SEARCH("+水果",總表!$D$20,1)-1),0))</f>
        <v>雞茸糙米粥</v>
      </c>
      <c r="Q30" s="183" t="str">
        <f>IF(第三周!$G$44=0,"",第三周!$G$44)</f>
        <v>糙米</v>
      </c>
      <c r="R30" s="235">
        <f>R17+7</f>
        <v>45275</v>
      </c>
      <c r="S30" s="238" t="s">
        <v>1164</v>
      </c>
      <c r="T30" s="228" t="str">
        <f>IF(IFERROR(LEFT(總表!$D$21,SEARCH("+水果",總表!$D$21,1)-1),0)=0,"",IFERROR(LEFT(總表!$D$21,SEARCH("+水果",總表!$D$21,1)-1),0))</f>
        <v>青菜豆腐湯</v>
      </c>
      <c r="U30" s="183" t="str">
        <f>IF(第三周!$G$56=0,"",第三周!$G$56)</f>
        <v>板豆腐</v>
      </c>
      <c r="V30" s="235">
        <f>V17+7</f>
        <v>45276</v>
      </c>
      <c r="W30" s="238" t="s">
        <v>1164</v>
      </c>
      <c r="X30" s="228" t="str">
        <f>IF(IFERROR(LEFT(總表!$D$22,SEARCH("+水果",總表!$D$22,1)-1),0)=0,"",IFERROR(LEFT(總表!$D$22,SEARCH("+水果",總表!$D$22,1)-1),0))</f>
        <v/>
      </c>
      <c r="Y30" s="183" t="str">
        <f>IF(第三周!$G$68=0,"",第三周!$G$68)</f>
        <v/>
      </c>
    </row>
    <row r="31" spans="1:25" ht="14.25" customHeight="1">
      <c r="A31" s="245"/>
      <c r="B31" s="247"/>
      <c r="C31" s="230"/>
      <c r="D31" s="229"/>
      <c r="E31" s="184" t="str">
        <f>IF(第三周!$G$9=0,"",第三周!$G$9)</f>
        <v>中粗米粉</v>
      </c>
      <c r="F31" s="236"/>
      <c r="G31" s="230"/>
      <c r="H31" s="229"/>
      <c r="I31" s="184" t="str">
        <f>IF(第三周!$G$21=0,"",第三周!$G$21)</f>
        <v>雞蛋</v>
      </c>
      <c r="J31" s="236"/>
      <c r="K31" s="230"/>
      <c r="L31" s="241"/>
      <c r="M31" s="184" t="str">
        <f>IF(第三周!$G$33=0,"",第三周!$G$33)</f>
        <v>洋蔥</v>
      </c>
      <c r="N31" s="236"/>
      <c r="O31" s="230"/>
      <c r="P31" s="229"/>
      <c r="Q31" s="184" t="str">
        <f>IF(第三周!$G$45=0,"",第三周!$G$45)</f>
        <v>雞絞肉</v>
      </c>
      <c r="R31" s="236"/>
      <c r="S31" s="230"/>
      <c r="T31" s="229"/>
      <c r="U31" s="184" t="str">
        <f>IF(第三周!$G$57=0,"",第三周!$G$57)</f>
        <v>小白菜</v>
      </c>
      <c r="V31" s="236"/>
      <c r="W31" s="230"/>
      <c r="X31" s="229"/>
      <c r="Y31" s="184" t="str">
        <f>IF(第三周!$G$69=0,"",第三周!$G$69)</f>
        <v/>
      </c>
    </row>
    <row r="32" spans="1:25" ht="14.25" customHeight="1">
      <c r="A32" s="245"/>
      <c r="B32" s="247"/>
      <c r="C32" s="230"/>
      <c r="D32" s="229"/>
      <c r="E32" s="184" t="str">
        <f>IF(第三周!$G$10=0,"",第三周!$G$10)</f>
        <v>豬絞肉</v>
      </c>
      <c r="F32" s="236"/>
      <c r="G32" s="230"/>
      <c r="H32" s="229"/>
      <c r="I32" s="184" t="str">
        <f>IF(第三周!$G$22=0,"",第三周!$G$22)</f>
        <v>細烏龍麵</v>
      </c>
      <c r="J32" s="236"/>
      <c r="K32" s="230"/>
      <c r="L32" s="241"/>
      <c r="M32" s="184" t="str">
        <f>IF(第三周!$G$34=0,"",第三周!$G$34)</f>
        <v>馬鈴薯</v>
      </c>
      <c r="N32" s="236"/>
      <c r="O32" s="230"/>
      <c r="P32" s="229"/>
      <c r="Q32" s="184" t="str">
        <f>IF(第三周!$G$46=0,"",第三周!$G$46)</f>
        <v>玉米粒</v>
      </c>
      <c r="R32" s="236"/>
      <c r="S32" s="230"/>
      <c r="T32" s="229"/>
      <c r="U32" s="184" t="str">
        <f>IF(第三周!$G$58=0,"",第三周!$G$58)</f>
        <v>紅蘿蔔</v>
      </c>
      <c r="V32" s="236"/>
      <c r="W32" s="230"/>
      <c r="X32" s="229"/>
      <c r="Y32" s="184" t="str">
        <f>IF(第三周!$G$70=0,"",第三周!$G$70)</f>
        <v/>
      </c>
    </row>
    <row r="33" spans="1:25" ht="14.25" customHeight="1">
      <c r="A33" s="245"/>
      <c r="B33" s="247"/>
      <c r="C33" s="230"/>
      <c r="D33" s="229"/>
      <c r="E33" s="184" t="str">
        <f>IF(第三周!$I$8=0,"",第三周!$I$8)</f>
        <v>芹菜</v>
      </c>
      <c r="F33" s="236"/>
      <c r="G33" s="230"/>
      <c r="H33" s="229"/>
      <c r="I33" s="184" t="str">
        <f>IF(第三周!$I$20=0,"",第三周!$I$20)</f>
        <v>小白菜</v>
      </c>
      <c r="J33" s="236"/>
      <c r="K33" s="230"/>
      <c r="L33" s="241"/>
      <c r="M33" s="184" t="str">
        <f>IF(第三周!$I$32=0,"",第三周!$I$32)</f>
        <v>玉米粒</v>
      </c>
      <c r="N33" s="236"/>
      <c r="O33" s="230"/>
      <c r="P33" s="229"/>
      <c r="Q33" s="184" t="str">
        <f>IF(第三周!$I$44=0,"",第三周!$I$44)</f>
        <v>芹菜</v>
      </c>
      <c r="R33" s="236"/>
      <c r="S33" s="230"/>
      <c r="T33" s="229"/>
      <c r="U33" s="184" t="str">
        <f>IF(第三周!$I$56=0,"",第三周!$I$56)</f>
        <v/>
      </c>
      <c r="V33" s="236"/>
      <c r="W33" s="230"/>
      <c r="X33" s="229"/>
      <c r="Y33" s="184" t="str">
        <f>IF(第三周!$I$68=0,"",第三周!$I$68)</f>
        <v/>
      </c>
    </row>
    <row r="34" spans="1:25" ht="14.25" customHeight="1">
      <c r="A34" s="245"/>
      <c r="B34" s="247"/>
      <c r="C34" s="230"/>
      <c r="D34" s="229"/>
      <c r="E34" s="184" t="str">
        <f>IF(第三周!$I$9=0,"",第三周!$I$9)</f>
        <v>豆芽菜</v>
      </c>
      <c r="F34" s="236"/>
      <c r="G34" s="230"/>
      <c r="H34" s="229"/>
      <c r="I34" s="184" t="str">
        <f>IF(第三周!$I$21=0,"",第三周!$I$21)</f>
        <v>木耳</v>
      </c>
      <c r="J34" s="236"/>
      <c r="K34" s="230"/>
      <c r="L34" s="241"/>
      <c r="M34" s="184" t="str">
        <f>IF(第三周!$I$33=0,"",第三周!$I$33)</f>
        <v>紅蘿蔔</v>
      </c>
      <c r="N34" s="236"/>
      <c r="O34" s="230"/>
      <c r="P34" s="229"/>
      <c r="Q34" s="184" t="str">
        <f>IF(第三周!$I$45=0,"",第三周!$I$45)</f>
        <v>白米</v>
      </c>
      <c r="R34" s="236"/>
      <c r="S34" s="230"/>
      <c r="T34" s="229"/>
      <c r="U34" s="184" t="str">
        <f>IF(第三周!$I$57=0,"",第三周!$I$57)</f>
        <v/>
      </c>
      <c r="V34" s="236"/>
      <c r="W34" s="230"/>
      <c r="X34" s="229"/>
      <c r="Y34" s="184" t="str">
        <f>IF(第三周!$I$69=0,"",第三周!$I$69)</f>
        <v/>
      </c>
    </row>
    <row r="35" spans="1:25" ht="14.25" customHeight="1">
      <c r="A35" s="245"/>
      <c r="B35" s="247"/>
      <c r="C35" s="230"/>
      <c r="D35" s="229"/>
      <c r="E35" s="187" t="str">
        <f>IF(第三周!$I$10=0,"",第三周!$I$10)</f>
        <v/>
      </c>
      <c r="F35" s="236"/>
      <c r="G35" s="230"/>
      <c r="H35" s="229"/>
      <c r="I35" s="187" t="str">
        <f>IF(第三周!$I$22=0,"",第三周!$I$22)</f>
        <v/>
      </c>
      <c r="J35" s="236"/>
      <c r="K35" s="230"/>
      <c r="L35" s="241"/>
      <c r="M35" s="184" t="str">
        <f>IF(第三周!$I$34=0,"",第三周!$I$34)</f>
        <v>低筋麵粉</v>
      </c>
      <c r="N35" s="236"/>
      <c r="O35" s="230"/>
      <c r="P35" s="229"/>
      <c r="Q35" s="187" t="str">
        <f>IF(第三周!$I$46=0,"",第三周!$I$46)</f>
        <v/>
      </c>
      <c r="R35" s="236"/>
      <c r="S35" s="230"/>
      <c r="T35" s="229"/>
      <c r="U35" s="187" t="str">
        <f>IF(第三周!$I$58=0,"",第三周!$I$58)</f>
        <v/>
      </c>
      <c r="V35" s="236"/>
      <c r="W35" s="230"/>
      <c r="X35" s="229"/>
      <c r="Y35" s="187" t="str">
        <f>IF(第三周!$I$70=0,"",第三周!$I$70)</f>
        <v/>
      </c>
    </row>
    <row r="36" spans="1:25" ht="14.25" customHeight="1" thickBot="1">
      <c r="A36" s="245"/>
      <c r="B36" s="247"/>
      <c r="C36" s="239"/>
      <c r="D36" s="186" t="str">
        <f>IF(IFERROR(IF(FIND("+水果",總表!$D$17)&gt;0,"水果",""),0)=0,"",IFERROR(IF(FIND("+水果",總表!$D$17)&gt;0,"水果",""),0))</f>
        <v>水果</v>
      </c>
      <c r="E36" s="185" t="str">
        <f>D36</f>
        <v>水果</v>
      </c>
      <c r="F36" s="236"/>
      <c r="G36" s="239"/>
      <c r="H36" s="186" t="str">
        <f>IF(IFERROR(IF(FIND("+水果",總表!$D$18)&gt;0,"水果",""),0)=0,"",IFERROR(IF(FIND("+水果",總表!$D$18)&gt;0,"水果",""),0))</f>
        <v>水果</v>
      </c>
      <c r="I36" s="185" t="str">
        <f>H36</f>
        <v>水果</v>
      </c>
      <c r="J36" s="236"/>
      <c r="K36" s="239"/>
      <c r="L36" s="242"/>
      <c r="M36" s="184"/>
      <c r="N36" s="236"/>
      <c r="O36" s="239"/>
      <c r="P36" s="186" t="str">
        <f>IF(IFERROR(IF(FIND("+水果",總表!$D$20)&gt;0,"水果",""),0)=0,"",IFERROR(IF(FIND("+水果",總表!$D$20)&gt;0,"水果",""),0))</f>
        <v>水果</v>
      </c>
      <c r="Q36" s="185" t="str">
        <f>P36</f>
        <v>水果</v>
      </c>
      <c r="R36" s="236"/>
      <c r="S36" s="239"/>
      <c r="T36" s="186" t="str">
        <f>IF(IFERROR(IF(FIND("+水果",總表!#REF!)&gt;0,"水果",""),0)=0,"",IFERROR(IF(FIND("+水果",總表!#REF!)&gt;0,"水果",""),0))</f>
        <v/>
      </c>
      <c r="U36" s="185" t="str">
        <f>T36</f>
        <v/>
      </c>
      <c r="V36" s="236"/>
      <c r="W36" s="239"/>
      <c r="X36" s="186" t="str">
        <f>IF(IFERROR(IF(FIND("+水果",總表!$D$22)&gt;0,"水果",""),0)=0,"",IFERROR(IF(FIND("+水果",總表!$D$22)&gt;0,"水果",""),0))</f>
        <v/>
      </c>
      <c r="Y36" s="185" t="str">
        <f>X36</f>
        <v/>
      </c>
    </row>
    <row r="37" spans="1:25" ht="14.25" customHeight="1" thickTop="1">
      <c r="A37" s="245"/>
      <c r="B37" s="247"/>
      <c r="C37" s="230" t="s">
        <v>1165</v>
      </c>
      <c r="D37" s="232" t="str">
        <f>IF(總表!$E$17=0,"",總表!$E$17)</f>
        <v>綜合滷味+紅棗枸杞茶</v>
      </c>
      <c r="E37" s="198" t="str">
        <f>IF(第三周!$G$14=0,"",第三周!$G$14)</f>
        <v>白蘿蔔</v>
      </c>
      <c r="F37" s="236"/>
      <c r="G37" s="230" t="s">
        <v>1165</v>
      </c>
      <c r="H37" s="232" t="str">
        <f>IF(總表!$E$18=0,"",總表!$E$18)</f>
        <v>黑糖西米露</v>
      </c>
      <c r="I37" s="198" t="str">
        <f>IF(第三周!$G$26=0,"",第三周!$G$26)</f>
        <v>西谷米</v>
      </c>
      <c r="J37" s="236"/>
      <c r="K37" s="230" t="s">
        <v>1165</v>
      </c>
      <c r="L37" s="232" t="str">
        <f>IF(總表!$E$19=0,"",總表!$E$19)</f>
        <v>菜包+豆漿</v>
      </c>
      <c r="M37" s="198" t="str">
        <f>IF(第三周!$G$38=0,"",第三周!$G$38)</f>
        <v>菜包</v>
      </c>
      <c r="N37" s="236"/>
      <c r="O37" s="230" t="s">
        <v>1165</v>
      </c>
      <c r="P37" s="232" t="str">
        <f>IF(總表!$E$20=0,"",總表!$E$20)</f>
        <v>全麥吐司+海芽薑絲湯</v>
      </c>
      <c r="Q37" s="198" t="str">
        <f>IF(第三周!$G$54=0,"",第三周!$G$54)</f>
        <v>嫩薑絲</v>
      </c>
      <c r="R37" s="236"/>
      <c r="S37" s="230" t="s">
        <v>1165</v>
      </c>
      <c r="T37" s="232" t="str">
        <f>IF(總表!$E$21=0,"",總表!$E$21)</f>
        <v>珍珠丸+黑豆茶</v>
      </c>
      <c r="U37" s="198" t="str">
        <f>IF(第三周!$G$65=0,"",第三周!$G$65)</f>
        <v>黑豆茶包</v>
      </c>
      <c r="V37" s="236"/>
      <c r="W37" s="230" t="s">
        <v>1165</v>
      </c>
      <c r="X37" s="232" t="str">
        <f>IF(總表!$E$22=0,"",總表!$E$22)</f>
        <v/>
      </c>
      <c r="Y37" s="198" t="str">
        <f>IF(第三周!$G$74=0,"",第三周!$G$74)</f>
        <v/>
      </c>
    </row>
    <row r="38" spans="1:25" ht="14.25" customHeight="1">
      <c r="A38" s="245"/>
      <c r="B38" s="247"/>
      <c r="C38" s="230"/>
      <c r="D38" s="233"/>
      <c r="E38" s="184" t="str">
        <f>IF(第三周!$G$15=0,"",第三周!$G$15)</f>
        <v>竹輪</v>
      </c>
      <c r="F38" s="236"/>
      <c r="G38" s="230"/>
      <c r="H38" s="233"/>
      <c r="I38" s="184" t="str">
        <f>IF(第三周!$G$28=0,"",第三周!$G$28)</f>
        <v>冷凍芋頭丁</v>
      </c>
      <c r="J38" s="236"/>
      <c r="K38" s="230"/>
      <c r="L38" s="233"/>
      <c r="M38" s="184" t="str">
        <f>IF(第三周!$G$41=0,"",第三周!$G$41)</f>
        <v>豆漿</v>
      </c>
      <c r="N38" s="236"/>
      <c r="O38" s="230"/>
      <c r="P38" s="233"/>
      <c r="Q38" s="184" t="str">
        <f>IF(第三周!$G$53=0,"",第三周!$G$53)</f>
        <v>海帶芽</v>
      </c>
      <c r="R38" s="236"/>
      <c r="S38" s="230"/>
      <c r="T38" s="233"/>
      <c r="U38" s="184" t="str">
        <f>IF(第三周!$G$62=0,"",第三周!$G$62)</f>
        <v>珍珠丸</v>
      </c>
      <c r="V38" s="236"/>
      <c r="W38" s="230"/>
      <c r="X38" s="233"/>
      <c r="Y38" s="184" t="str">
        <f>IF(第三周!$G$75=0,"",第三周!$G$75)</f>
        <v/>
      </c>
    </row>
    <row r="39" spans="1:25" ht="14.25" customHeight="1">
      <c r="A39" s="245"/>
      <c r="B39" s="247"/>
      <c r="C39" s="230"/>
      <c r="D39" s="233"/>
      <c r="E39" s="184" t="str">
        <f>IF(第三周!$G$16=0,"",第三周!$G$16)</f>
        <v>大黑豆干</v>
      </c>
      <c r="F39" s="236"/>
      <c r="G39" s="230"/>
      <c r="H39" s="233"/>
      <c r="I39" s="184" t="str">
        <f>IF(第三周!$G$27=0,"",第三周!$G$27)</f>
        <v>黑糖</v>
      </c>
      <c r="J39" s="236"/>
      <c r="K39" s="230"/>
      <c r="L39" s="233"/>
      <c r="M39" s="184" t="str">
        <f>IF(第三周!$G$39=0,"",第三周!$G$39)</f>
        <v/>
      </c>
      <c r="N39" s="236"/>
      <c r="O39" s="230"/>
      <c r="P39" s="233"/>
      <c r="Q39" s="184" t="str">
        <f>IF(第三周!$G$50=0,"",第三周!$G$50)</f>
        <v>全麥吐司</v>
      </c>
      <c r="R39" s="236"/>
      <c r="S39" s="230"/>
      <c r="T39" s="233"/>
      <c r="U39" s="184" t="str">
        <f>IF(第三周!$G$63=0,"",第三周!$G$63)</f>
        <v/>
      </c>
      <c r="V39" s="236"/>
      <c r="W39" s="230"/>
      <c r="X39" s="233"/>
      <c r="Y39" s="184" t="str">
        <f>IF(第三周!$G$76=0,"",第三周!$G$76)</f>
        <v/>
      </c>
    </row>
    <row r="40" spans="1:25" ht="14.25" customHeight="1">
      <c r="A40" s="245"/>
      <c r="B40" s="247"/>
      <c r="C40" s="230"/>
      <c r="D40" s="233"/>
      <c r="E40" s="184" t="str">
        <f>IF(第三周!$G$17=0,"",第三周!$G$17)</f>
        <v>紅棗</v>
      </c>
      <c r="F40" s="236"/>
      <c r="G40" s="230"/>
      <c r="H40" s="233"/>
      <c r="I40" s="184" t="str">
        <f>IF(第三周!$G$29=0,"",第三周!$G$29)</f>
        <v/>
      </c>
      <c r="J40" s="236"/>
      <c r="K40" s="230"/>
      <c r="L40" s="233"/>
      <c r="M40" s="184" t="str">
        <f>IF(第三周!$G$40=0,"",第三周!$G$40)</f>
        <v/>
      </c>
      <c r="N40" s="236"/>
      <c r="O40" s="230"/>
      <c r="P40" s="233"/>
      <c r="Q40" s="184" t="str">
        <f>IF(第三周!$G$51=0,"",第三周!$G$51)</f>
        <v/>
      </c>
      <c r="R40" s="236"/>
      <c r="S40" s="230"/>
      <c r="T40" s="233"/>
      <c r="U40" s="184" t="str">
        <f>IF(第三周!$G$64=0,"",第三周!$G$64)</f>
        <v/>
      </c>
      <c r="V40" s="236"/>
      <c r="W40" s="230"/>
      <c r="X40" s="233"/>
      <c r="Y40" s="184" t="str">
        <f>IF(第三周!$G$77=0,"",第三周!$G$77)</f>
        <v/>
      </c>
    </row>
    <row r="41" spans="1:25" ht="14.25" customHeight="1">
      <c r="A41" s="245"/>
      <c r="B41" s="247"/>
      <c r="C41" s="230"/>
      <c r="D41" s="233"/>
      <c r="E41" s="184" t="str">
        <f>IF(第三周!$G$18=0,"",第三周!$G$18)</f>
        <v>枸杞</v>
      </c>
      <c r="F41" s="236"/>
      <c r="G41" s="230"/>
      <c r="H41" s="233"/>
      <c r="I41" s="184" t="str">
        <f>IF(第三周!$G$30=0,"",第三周!$G$30)</f>
        <v/>
      </c>
      <c r="J41" s="236"/>
      <c r="K41" s="230"/>
      <c r="L41" s="233"/>
      <c r="M41" s="184" t="str">
        <f>IF(第三周!$G$42=0,"",第三周!$G$42)</f>
        <v/>
      </c>
      <c r="N41" s="236"/>
      <c r="O41" s="230"/>
      <c r="P41" s="233"/>
      <c r="Q41" s="184" t="str">
        <f>IF(第三周!$G$52=0,"",第三周!$G$52)</f>
        <v/>
      </c>
      <c r="R41" s="236"/>
      <c r="S41" s="230"/>
      <c r="T41" s="233"/>
      <c r="U41" s="184" t="str">
        <f>IF(第三周!$G$66=0,"",第三周!$G$66)</f>
        <v/>
      </c>
      <c r="V41" s="236"/>
      <c r="W41" s="230"/>
      <c r="X41" s="233"/>
      <c r="Y41" s="184" t="str">
        <f>IF(第三周!$G$78=0,"",第三周!$G$78)</f>
        <v/>
      </c>
    </row>
    <row r="42" spans="1:25" ht="14.25" customHeight="1" thickBot="1">
      <c r="A42" s="246"/>
      <c r="B42" s="248"/>
      <c r="C42" s="231"/>
      <c r="D42" s="234"/>
      <c r="E42" s="188" t="str">
        <f>IF(第三周!$G$19=0,"",第三周!$G$19)</f>
        <v/>
      </c>
      <c r="F42" s="237"/>
      <c r="G42" s="231"/>
      <c r="H42" s="234"/>
      <c r="I42" s="188" t="str">
        <f>IF(第三周!$G$31=0,"",第三周!$G$31)</f>
        <v/>
      </c>
      <c r="J42" s="237"/>
      <c r="K42" s="231"/>
      <c r="L42" s="234"/>
      <c r="M42" s="188" t="str">
        <f>IF(第三周!$G$43=0,"",第三周!$G$43)</f>
        <v/>
      </c>
      <c r="N42" s="237"/>
      <c r="O42" s="231"/>
      <c r="P42" s="234"/>
      <c r="Q42" s="188" t="str">
        <f>IF(第三周!$G$55=0,"",第三周!$G$55)</f>
        <v/>
      </c>
      <c r="R42" s="237"/>
      <c r="S42" s="231"/>
      <c r="T42" s="234"/>
      <c r="U42" s="188" t="str">
        <f>IF(第三周!$G$67=0,"",第三周!$G$67)</f>
        <v/>
      </c>
      <c r="V42" s="237"/>
      <c r="W42" s="231"/>
      <c r="X42" s="234"/>
      <c r="Y42" s="188" t="str">
        <f>IF(第三周!$G$79=0,"",第三周!$G$79)</f>
        <v/>
      </c>
    </row>
    <row r="43" spans="1:25" ht="14.25" customHeight="1">
      <c r="A43" s="249" t="s">
        <v>1168</v>
      </c>
      <c r="B43" s="250">
        <f>B30+7</f>
        <v>45278</v>
      </c>
      <c r="C43" s="238" t="s">
        <v>1164</v>
      </c>
      <c r="D43" s="228" t="str">
        <f>IF(IFERROR(LEFT(總表!$D$24,SEARCH("+水果",總表!$D$24,1)-1),0)=0,"",IFERROR(LEFT(總表!$D$24,SEARCH("+水果",總表!$D$24,1)-1),0))</f>
        <v>雞絲麵</v>
      </c>
      <c r="E43" s="183" t="str">
        <f>IF(第四周!$G$8=0,"",第四周!$G$8)</f>
        <v>雞絲麵</v>
      </c>
      <c r="F43" s="235">
        <f>F30+7</f>
        <v>45279</v>
      </c>
      <c r="G43" s="238" t="s">
        <v>1164</v>
      </c>
      <c r="H43" s="228" t="str">
        <f>IF(IFERROR(LEFT(總表!$D$25,SEARCH("+水果",總表!$D$25,1)-1),0)=0,"",IFERROR(LEFT(總表!$D$25,SEARCH("+水果",總表!$D$25,1)-1),0))</f>
        <v>白菜獅子頭</v>
      </c>
      <c r="I43" s="183" t="str">
        <f>IF(第四周!$G$20=0,"",第四周!$G$20)</f>
        <v>獅子頭</v>
      </c>
      <c r="J43" s="235">
        <f>J30+7</f>
        <v>45280</v>
      </c>
      <c r="K43" s="238" t="s">
        <v>1164</v>
      </c>
      <c r="L43" s="240" t="str">
        <f>IF(總表!$D26=0,"",總表!D26)</f>
        <v>家常麵疙瘩</v>
      </c>
      <c r="M43" s="183" t="str">
        <f>IF(第四周!$G$32=0,"",第四周!$G$32)</f>
        <v>麵疙瘩</v>
      </c>
      <c r="N43" s="235">
        <f>N30+7</f>
        <v>45281</v>
      </c>
      <c r="O43" s="238" t="s">
        <v>1164</v>
      </c>
      <c r="P43" s="228" t="str">
        <f>IF(IFERROR(LEFT(總表!$D$27,SEARCH("+水果",總表!$D$27,1)-1),0)=0,"",IFERROR(LEFT(總表!$D$27,SEARCH("+水果",總表!$D$27,1)-1),0))</f>
        <v>皮蛋瘦肉粥</v>
      </c>
      <c r="Q43" s="183" t="str">
        <f>IF(第四周!$G$44=0,"",第四周!$G$44)</f>
        <v>皮蛋</v>
      </c>
      <c r="R43" s="235">
        <f>R30+7</f>
        <v>45282</v>
      </c>
      <c r="S43" s="238" t="s">
        <v>1164</v>
      </c>
      <c r="T43" s="228" t="str">
        <f>IF(IFERROR(LEFT(總表!$D$28,SEARCH("+水果",總表!$D$28,1)-1),0)=0,"",IFERROR(LEFT(總表!$D$28,SEARCH("+水果",總表!$D$28,1)-1),0))</f>
        <v>麵線羹</v>
      </c>
      <c r="U43" s="183" t="str">
        <f>IF(第四周!$G$56=0,"",第四周!$G$56)</f>
        <v>紅麵線</v>
      </c>
      <c r="V43" s="235">
        <f>V30+7</f>
        <v>45283</v>
      </c>
      <c r="W43" s="238" t="s">
        <v>1164</v>
      </c>
      <c r="X43" s="228" t="str">
        <f>IF(總表!$D29=0,"",總表!D29)</f>
        <v>銅鑼燒</v>
      </c>
      <c r="Y43" s="183" t="str">
        <f>IF(第四周!$G$68=0,"",第四周!$G$68)</f>
        <v>銅鑼燒</v>
      </c>
    </row>
    <row r="44" spans="1:25" ht="14.25" customHeight="1">
      <c r="A44" s="245"/>
      <c r="B44" s="247"/>
      <c r="C44" s="230"/>
      <c r="D44" s="229"/>
      <c r="E44" s="184" t="str">
        <f>IF(第四周!$G$9=0,"",第四周!$G$9)</f>
        <v>貢丸</v>
      </c>
      <c r="F44" s="236"/>
      <c r="G44" s="230"/>
      <c r="H44" s="229"/>
      <c r="I44" s="184" t="str">
        <f>IF(第四周!$G$21=0,"",第四周!$G$21)</f>
        <v>大白菜</v>
      </c>
      <c r="J44" s="236"/>
      <c r="K44" s="230"/>
      <c r="L44" s="241"/>
      <c r="M44" s="184" t="str">
        <f>IF(第四周!$G$33=0,"",第四周!$G$33)</f>
        <v>豬肉絲</v>
      </c>
      <c r="N44" s="236"/>
      <c r="O44" s="230"/>
      <c r="P44" s="229"/>
      <c r="Q44" s="184" t="str">
        <f>IF(第四周!$G$45=0,"",第四周!$G$45)</f>
        <v>雞蛋</v>
      </c>
      <c r="R44" s="236"/>
      <c r="S44" s="230"/>
      <c r="T44" s="229"/>
      <c r="U44" s="184" t="str">
        <f>IF(第四周!$G$57=0,"",第四周!$G$57)</f>
        <v>香菜</v>
      </c>
      <c r="V44" s="236"/>
      <c r="W44" s="230"/>
      <c r="X44" s="229"/>
      <c r="Y44" s="184" t="str">
        <f>IF(第四周!$G$69=0,"",第四周!$G$69)</f>
        <v/>
      </c>
    </row>
    <row r="45" spans="1:25" ht="14.25" customHeight="1">
      <c r="A45" s="245"/>
      <c r="B45" s="247"/>
      <c r="C45" s="230"/>
      <c r="D45" s="229"/>
      <c r="E45" s="184" t="str">
        <f>IF(第四周!$G$10=0,"",第四周!$G$10)</f>
        <v>小白菜</v>
      </c>
      <c r="F45" s="236"/>
      <c r="G45" s="230"/>
      <c r="H45" s="229"/>
      <c r="I45" s="184" t="str">
        <f>IF(第四周!$G$22=0,"",第四周!$G$22)</f>
        <v>冬粉</v>
      </c>
      <c r="J45" s="236"/>
      <c r="K45" s="230"/>
      <c r="L45" s="241"/>
      <c r="M45" s="184" t="str">
        <f>IF(第四周!$G$34=0,"",第四周!$G$34)</f>
        <v>生香菇</v>
      </c>
      <c r="N45" s="236"/>
      <c r="O45" s="230"/>
      <c r="P45" s="229"/>
      <c r="Q45" s="184" t="str">
        <f>IF(第四周!$G$46=0,"",第四周!$G$46)</f>
        <v>白米</v>
      </c>
      <c r="R45" s="236"/>
      <c r="S45" s="230"/>
      <c r="T45" s="229"/>
      <c r="U45" s="184" t="str">
        <f>IF(第四周!$G$58=0,"",第四周!$G$58)</f>
        <v>白蘿蔔</v>
      </c>
      <c r="V45" s="236"/>
      <c r="W45" s="230"/>
      <c r="X45" s="229"/>
      <c r="Y45" s="184" t="str">
        <f>IF(第四周!$G$70=0,"",第四周!$G$70)</f>
        <v/>
      </c>
    </row>
    <row r="46" spans="1:25" ht="16.899999999999999" customHeight="1">
      <c r="A46" s="245"/>
      <c r="B46" s="247"/>
      <c r="C46" s="230"/>
      <c r="D46" s="229"/>
      <c r="E46" s="184" t="str">
        <f>IF(第四周!$I$8=0,"",第四周!$I$8)</f>
        <v>黑木耳</v>
      </c>
      <c r="F46" s="236"/>
      <c r="G46" s="230"/>
      <c r="H46" s="229"/>
      <c r="I46" s="184" t="str">
        <f>IF(第四周!$I$20=0,"",第四周!$I$20)</f>
        <v>太白粉</v>
      </c>
      <c r="J46" s="236"/>
      <c r="K46" s="230"/>
      <c r="L46" s="241"/>
      <c r="M46" s="184" t="str">
        <f>IF(第四周!$I$32=0,"",第四周!$I$32)</f>
        <v>青江菜</v>
      </c>
      <c r="N46" s="236"/>
      <c r="O46" s="230"/>
      <c r="P46" s="229"/>
      <c r="Q46" s="184" t="str">
        <f>IF(第四周!$I$44=0,"",第四周!$I$44)</f>
        <v>芹菜珠</v>
      </c>
      <c r="R46" s="236"/>
      <c r="S46" s="230"/>
      <c r="T46" s="229"/>
      <c r="U46" s="184" t="str">
        <f>IF(第四周!$I$56=0,"",第四周!$I$56)</f>
        <v>黑木耳</v>
      </c>
      <c r="V46" s="236"/>
      <c r="W46" s="230"/>
      <c r="X46" s="229"/>
      <c r="Y46" s="184" t="str">
        <f>IF(第四周!$I$68=0,"",第四周!$I$68)</f>
        <v/>
      </c>
    </row>
    <row r="47" spans="1:25" ht="14.25" customHeight="1">
      <c r="A47" s="245"/>
      <c r="B47" s="247"/>
      <c r="C47" s="230"/>
      <c r="D47" s="229"/>
      <c r="E47" s="184" t="str">
        <f>IF(第四周!$I$9=0,"",第四周!$I$9)</f>
        <v>紅蘿蔔</v>
      </c>
      <c r="F47" s="236"/>
      <c r="G47" s="230"/>
      <c r="H47" s="229"/>
      <c r="I47" s="184" t="str">
        <f>IF(第四周!$I$21=0,"",第四周!$I$21)</f>
        <v>木耳</v>
      </c>
      <c r="J47" s="236"/>
      <c r="K47" s="230"/>
      <c r="L47" s="241"/>
      <c r="M47" s="184" t="str">
        <f>IF(第四周!$I$33=0,"",第四周!$I$33)</f>
        <v>紅蘿蔔</v>
      </c>
      <c r="N47" s="236"/>
      <c r="O47" s="230"/>
      <c r="P47" s="229"/>
      <c r="Q47" s="184" t="str">
        <f>IF(第四周!$I$45=0,"",第四周!$I$45)</f>
        <v>豬絞肉</v>
      </c>
      <c r="R47" s="236"/>
      <c r="S47" s="230"/>
      <c r="T47" s="229"/>
      <c r="U47" s="184" t="str">
        <f>IF(第四周!$I$57=0,"",第四周!$I$57)</f>
        <v>肉羹</v>
      </c>
      <c r="V47" s="236"/>
      <c r="W47" s="230"/>
      <c r="X47" s="229"/>
      <c r="Y47" s="184" t="str">
        <f>IF(第四周!$I$69=0,"",第四周!$I$69)</f>
        <v/>
      </c>
    </row>
    <row r="48" spans="1:25" ht="16.5">
      <c r="A48" s="245"/>
      <c r="B48" s="247"/>
      <c r="C48" s="230"/>
      <c r="D48" s="229"/>
      <c r="E48" s="187" t="str">
        <f>IF(第四周!$I$10=0,"",第四周!$I$10)</f>
        <v/>
      </c>
      <c r="F48" s="236"/>
      <c r="G48" s="230"/>
      <c r="H48" s="229"/>
      <c r="I48" s="187" t="str">
        <f>IF(第四周!$I$22=0,"",第四周!$I$22)</f>
        <v>香菜</v>
      </c>
      <c r="J48" s="236"/>
      <c r="K48" s="230"/>
      <c r="L48" s="241"/>
      <c r="M48" s="184" t="str">
        <f>IF(第四周!$I$34=0,"",第四周!$I$34)</f>
        <v/>
      </c>
      <c r="N48" s="236"/>
      <c r="O48" s="230"/>
      <c r="P48" s="229"/>
      <c r="Q48" s="187" t="str">
        <f>IF(第四周!$I$46=0,"",第四周!$I$46)</f>
        <v/>
      </c>
      <c r="R48" s="236"/>
      <c r="S48" s="230"/>
      <c r="T48" s="229"/>
      <c r="U48" s="187" t="str">
        <f>IF(第四周!$I$58=0,"",第四周!$I$58)</f>
        <v>蒜泥</v>
      </c>
      <c r="V48" s="236"/>
      <c r="W48" s="230"/>
      <c r="X48" s="229"/>
      <c r="Y48" s="187" t="str">
        <f>IF(第四周!$I$70=0,"",第四周!$I$70)</f>
        <v/>
      </c>
    </row>
    <row r="49" spans="1:25" ht="14.25" customHeight="1" thickBot="1">
      <c r="A49" s="245"/>
      <c r="B49" s="247"/>
      <c r="C49" s="239"/>
      <c r="D49" s="186" t="str">
        <f>IF(IFERROR(IF(FIND("+水果",總表!$D$24)&gt;0,"水果",""),0)=0,"",IFERROR(IF(FIND("+水果",總表!$D$24)&gt;0,"水果",""),0))</f>
        <v>水果</v>
      </c>
      <c r="E49" s="185" t="str">
        <f>D49</f>
        <v>水果</v>
      </c>
      <c r="F49" s="236"/>
      <c r="G49" s="239"/>
      <c r="H49" s="186" t="str">
        <f>IF(IFERROR(IF(FIND("+水果",總表!$D$25)&gt;0,"水果",""),0)=0,"",IFERROR(IF(FIND("+水果",總表!$D$25)&gt;0,"水果",""),0))</f>
        <v>水果</v>
      </c>
      <c r="I49" s="185" t="str">
        <f>H49</f>
        <v>水果</v>
      </c>
      <c r="J49" s="236"/>
      <c r="K49" s="239"/>
      <c r="L49" s="242"/>
      <c r="M49" s="184"/>
      <c r="N49" s="236"/>
      <c r="O49" s="239"/>
      <c r="P49" s="186" t="str">
        <f>IF(IFERROR(IF(FIND("+水果",總表!$D$27)&gt;0,"水果",""),0)=0,"",IFERROR(IF(FIND("+水果",總表!$D$27)&gt;0,"水果",""),0))</f>
        <v>水果</v>
      </c>
      <c r="Q49" s="185" t="str">
        <f>P49</f>
        <v>水果</v>
      </c>
      <c r="R49" s="236"/>
      <c r="S49" s="239"/>
      <c r="T49" s="186" t="str">
        <f>IF(IFERROR(IF(FIND("+水果",總表!$D$28)&gt;0,"水果",""),0)=0,"",IFERROR(IF(FIND("+水果",總表!$D$28)&gt;0,"水果",""),0))</f>
        <v>水果</v>
      </c>
      <c r="U49" s="185" t="str">
        <f>T49</f>
        <v>水果</v>
      </c>
      <c r="V49" s="236"/>
      <c r="W49" s="239"/>
      <c r="X49" s="186"/>
      <c r="Y49" s="185"/>
    </row>
    <row r="50" spans="1:25" ht="16.899999999999999" customHeight="1" thickTop="1">
      <c r="A50" s="245"/>
      <c r="B50" s="247"/>
      <c r="C50" s="230" t="s">
        <v>1165</v>
      </c>
      <c r="D50" s="232" t="str">
        <f>IF(總表!$E$24=0,"",總表!$E$24)</f>
        <v>紫菜蛋花湯</v>
      </c>
      <c r="E50" s="198" t="str">
        <f>IF(第四周!$G$14=0,"",第四周!$G$14)</f>
        <v>紫菜</v>
      </c>
      <c r="F50" s="236"/>
      <c r="G50" s="230" t="s">
        <v>1165</v>
      </c>
      <c r="H50" s="232" t="str">
        <f>IF(總表!$E$25=0,"",總表!$E$25)</f>
        <v>沙其馬+鮮奶</v>
      </c>
      <c r="I50" s="198" t="str">
        <f>IF(第四周!$G$29=0,"",第四周!$G$29)</f>
        <v>鮮奶</v>
      </c>
      <c r="J50" s="236"/>
      <c r="K50" s="230" t="s">
        <v>1165</v>
      </c>
      <c r="L50" s="232" t="str">
        <f>IF(總表!E26=0,"",總表!E26)</f>
        <v>燒仙草</v>
      </c>
      <c r="M50" s="198" t="str">
        <f>IF(第四周!$G$38=0,"",第四周!$G$38)</f>
        <v>仙草汁</v>
      </c>
      <c r="N50" s="236"/>
      <c r="O50" s="230" t="s">
        <v>1165</v>
      </c>
      <c r="P50" s="232" t="str">
        <f>IF(總表!$E$27=0,"",總表!$E$27)</f>
        <v>蘿蔔黑輪湯</v>
      </c>
      <c r="Q50" s="198" t="str">
        <f>IF(第四周!$G$50=0,"",第四周!$G$50)</f>
        <v>白蘿蔔</v>
      </c>
      <c r="R50" s="236"/>
      <c r="S50" s="230" t="s">
        <v>1165</v>
      </c>
      <c r="T50" s="232" t="str">
        <f>IF(總表!$E$28=0,"",總表!$E$28)</f>
        <v>綠豆薏仁湯</v>
      </c>
      <c r="U50" s="198" t="str">
        <f>IF(第四周!$G$62=0,"",第四周!$G$62)</f>
        <v>綠豆</v>
      </c>
      <c r="V50" s="236"/>
      <c r="W50" s="230" t="s">
        <v>1165</v>
      </c>
      <c r="X50" s="232" t="str">
        <f>IF(總表!$E$29=0,"",總表!$E$29)</f>
        <v>果汁</v>
      </c>
      <c r="Y50" s="198" t="str">
        <f>IF(第四周!$G$74=0,"",第四周!$G$74)</f>
        <v>果汁</v>
      </c>
    </row>
    <row r="51" spans="1:25" ht="14.25" customHeight="1">
      <c r="A51" s="245"/>
      <c r="B51" s="247"/>
      <c r="C51" s="230"/>
      <c r="D51" s="233"/>
      <c r="E51" s="184" t="str">
        <f>IF(第四周!$G$15=0,"",第四周!$G$15)</f>
        <v>雞蛋</v>
      </c>
      <c r="F51" s="236"/>
      <c r="G51" s="230"/>
      <c r="H51" s="233"/>
      <c r="I51" s="184" t="str">
        <f>IF(第四周!$G$26=0,"",第四周!$G$26)</f>
        <v>沙其馬</v>
      </c>
      <c r="J51" s="236"/>
      <c r="K51" s="230"/>
      <c r="L51" s="233"/>
      <c r="M51" s="184" t="str">
        <f>IF(第四周!$G$39=0,"",第四周!$G$39)</f>
        <v>大紅豆</v>
      </c>
      <c r="N51" s="236"/>
      <c r="O51" s="230"/>
      <c r="P51" s="233"/>
      <c r="Q51" s="184" t="str">
        <f>IF(第四周!$G$52=0,"",第四周!$G$52)</f>
        <v>紅蘿蔔</v>
      </c>
      <c r="R51" s="236"/>
      <c r="S51" s="230"/>
      <c r="T51" s="233"/>
      <c r="U51" s="184" t="str">
        <f>IF(第四周!$G$65=0,"",第四周!$G$65)</f>
        <v/>
      </c>
      <c r="V51" s="236"/>
      <c r="W51" s="230"/>
      <c r="X51" s="233"/>
      <c r="Y51" s="184" t="str">
        <f>IF(第四周!$G$75=0,"",第四周!$G$75)</f>
        <v/>
      </c>
    </row>
    <row r="52" spans="1:25" ht="14.25" customHeight="1">
      <c r="A52" s="245"/>
      <c r="B52" s="247"/>
      <c r="C52" s="230"/>
      <c r="D52" s="233"/>
      <c r="E52" s="184" t="str">
        <f>IF(第四周!$G$16=0,"",第四周!$G$16)</f>
        <v>嫩薑絲</v>
      </c>
      <c r="F52" s="236"/>
      <c r="G52" s="230"/>
      <c r="H52" s="233"/>
      <c r="I52" s="184" t="str">
        <f>IF(第四周!$G$27=0,"",第四周!$G$27)</f>
        <v/>
      </c>
      <c r="J52" s="236"/>
      <c r="K52" s="230"/>
      <c r="L52" s="233"/>
      <c r="M52" s="184" t="str">
        <f>IF(第四周!$G$40=0,"",第四周!$G$40)</f>
        <v>粉圓</v>
      </c>
      <c r="N52" s="236"/>
      <c r="O52" s="230"/>
      <c r="P52" s="233"/>
      <c r="Q52" s="184" t="str">
        <f>IF(第四周!$G$51=0,"",第四周!$G$51)</f>
        <v>黑輪</v>
      </c>
      <c r="R52" s="236"/>
      <c r="S52" s="230"/>
      <c r="T52" s="233"/>
      <c r="U52" s="184" t="str">
        <f>IF(第四周!$G$63=0,"",第四周!$G$63)</f>
        <v>二砂糖</v>
      </c>
      <c r="V52" s="236"/>
      <c r="W52" s="230"/>
      <c r="X52" s="233"/>
      <c r="Y52" s="184" t="str">
        <f>IF(第四周!$G$76=0,"",第四周!$G$76)</f>
        <v/>
      </c>
    </row>
    <row r="53" spans="1:25" ht="14.25" customHeight="1">
      <c r="A53" s="245"/>
      <c r="B53" s="247"/>
      <c r="C53" s="230"/>
      <c r="D53" s="233"/>
      <c r="E53" s="184" t="str">
        <f>IF(第四周!$G$17=0,"",第四周!$G$17)</f>
        <v/>
      </c>
      <c r="F53" s="236"/>
      <c r="G53" s="230"/>
      <c r="H53" s="233"/>
      <c r="I53" s="184" t="str">
        <f>IF(第四周!$G$28=0,"",第四周!$G$28)</f>
        <v/>
      </c>
      <c r="J53" s="236"/>
      <c r="K53" s="230"/>
      <c r="L53" s="233"/>
      <c r="M53" s="184" t="str">
        <f>IF(第四周!$G$41=0,"",第四周!$G$41)</f>
        <v/>
      </c>
      <c r="N53" s="236"/>
      <c r="O53" s="230"/>
      <c r="P53" s="233"/>
      <c r="Q53" s="184" t="str">
        <f>IF(第四周!$G$53=0,"",第四周!$G$53)</f>
        <v/>
      </c>
      <c r="R53" s="236"/>
      <c r="S53" s="230"/>
      <c r="T53" s="233"/>
      <c r="U53" s="184" t="str">
        <f>IF(第四周!$G$64=0,"",第四周!$G$64)</f>
        <v>小薏仁</v>
      </c>
      <c r="V53" s="236"/>
      <c r="W53" s="230"/>
      <c r="X53" s="233"/>
      <c r="Y53" s="184" t="str">
        <f>IF(第四周!$G$77=0,"",第四周!$G$77)</f>
        <v/>
      </c>
    </row>
    <row r="54" spans="1:25" ht="14.25" customHeight="1">
      <c r="A54" s="245"/>
      <c r="B54" s="247"/>
      <c r="C54" s="230"/>
      <c r="D54" s="233"/>
      <c r="E54" s="184" t="str">
        <f>IF(第四周!$G$18=0,"",第四周!$G$18)</f>
        <v/>
      </c>
      <c r="F54" s="236"/>
      <c r="G54" s="230"/>
      <c r="H54" s="233"/>
      <c r="I54" s="184" t="str">
        <f>IF(第四周!$G$30=0,"",第四周!$G$30)</f>
        <v/>
      </c>
      <c r="J54" s="236"/>
      <c r="K54" s="230"/>
      <c r="L54" s="233"/>
      <c r="M54" s="184" t="str">
        <f>IF(第四周!$G$42=0,"",第四周!$G$42)</f>
        <v/>
      </c>
      <c r="N54" s="236"/>
      <c r="O54" s="230"/>
      <c r="P54" s="233"/>
      <c r="Q54" s="184" t="str">
        <f>IF(第四周!$G$54=0,"",第四周!$G$54)</f>
        <v/>
      </c>
      <c r="R54" s="236"/>
      <c r="S54" s="230"/>
      <c r="T54" s="233"/>
      <c r="U54" s="184" t="str">
        <f>IF(第四周!$G$66=0,"",第四周!$G$66)</f>
        <v/>
      </c>
      <c r="V54" s="236"/>
      <c r="W54" s="230"/>
      <c r="X54" s="233"/>
      <c r="Y54" s="184" t="str">
        <f>IF(第四周!$G$78=0,"",第四周!$G$78)</f>
        <v/>
      </c>
    </row>
    <row r="55" spans="1:25" ht="14.25" customHeight="1" thickBot="1">
      <c r="A55" s="246"/>
      <c r="B55" s="248"/>
      <c r="C55" s="231"/>
      <c r="D55" s="234"/>
      <c r="E55" s="188" t="str">
        <f>IF(第四周!$G$19=0,"",第四周!$G$19)</f>
        <v/>
      </c>
      <c r="F55" s="237"/>
      <c r="G55" s="231"/>
      <c r="H55" s="234"/>
      <c r="I55" s="188" t="str">
        <f>IF(第四周!$G$31=0,"",第四周!$G$31)</f>
        <v/>
      </c>
      <c r="J55" s="237"/>
      <c r="K55" s="231"/>
      <c r="L55" s="234"/>
      <c r="M55" s="188" t="str">
        <f>IF(第四周!$G$43=0,"",第四周!$G$43)</f>
        <v/>
      </c>
      <c r="N55" s="237"/>
      <c r="O55" s="231"/>
      <c r="P55" s="234"/>
      <c r="Q55" s="188" t="str">
        <f>IF(第四周!$G$55=0,"",第四周!$G$55)</f>
        <v/>
      </c>
      <c r="R55" s="237"/>
      <c r="S55" s="231"/>
      <c r="T55" s="234"/>
      <c r="U55" s="188" t="str">
        <f>IF(第四周!$G$67=0,"",第四周!$G$67)</f>
        <v/>
      </c>
      <c r="V55" s="237"/>
      <c r="W55" s="231"/>
      <c r="X55" s="234"/>
      <c r="Y55" s="188" t="str">
        <f>IF(第四周!$G$79=0,"",第四周!$G$79)</f>
        <v/>
      </c>
    </row>
    <row r="56" spans="1:25" ht="14.25" customHeight="1">
      <c r="A56" s="249" t="s">
        <v>1169</v>
      </c>
      <c r="B56" s="250">
        <f>B43+7</f>
        <v>45285</v>
      </c>
      <c r="C56" s="238" t="s">
        <v>1164</v>
      </c>
      <c r="D56" s="228" t="str">
        <f>IF(IFERROR(LEFT(總表!$D$31,SEARCH("+水果",總表!$D$31,1)-1),0)=0,"",IFERROR(LEFT(總表!$D$31,SEARCH("+水果",總表!$D$31,1)-1),0))</f>
        <v>水餃</v>
      </c>
      <c r="E56" s="183" t="str">
        <f>IF(第五周!$G$8=0,"",第五周!$G$8)</f>
        <v>水餃</v>
      </c>
      <c r="F56" s="250">
        <f>F43+7</f>
        <v>45286</v>
      </c>
      <c r="G56" s="238" t="s">
        <v>1164</v>
      </c>
      <c r="H56" s="228" t="str">
        <f>IF(IFERROR(LEFT(總表!$D$32,SEARCH("+水果",總表!$D$32,1)-1),0)=0,"",IFERROR(LEFT(總表!$D$32,SEARCH("+水果",總表!$D$32,1)-1),0))</f>
        <v>瘦肉拉麵</v>
      </c>
      <c r="I56" s="183" t="str">
        <f>IF(第五周!$G$20=0,"",第五周!$G$20)</f>
        <v>拉麵</v>
      </c>
      <c r="J56" s="250">
        <f>J43+7</f>
        <v>45287</v>
      </c>
      <c r="K56" s="238" t="s">
        <v>1164</v>
      </c>
      <c r="L56" s="240" t="str">
        <f>IF(總表!$D33=0,"",總表!D33)</f>
        <v>枸杞雞湯麵線</v>
      </c>
      <c r="M56" s="183" t="str">
        <f>IF(第五周!$G$32=0,"",第五周!$G$32)</f>
        <v>白麵線</v>
      </c>
      <c r="N56" s="250">
        <f>N43+7</f>
        <v>45288</v>
      </c>
      <c r="O56" s="238" t="s">
        <v>1164</v>
      </c>
      <c r="P56" s="228" t="str">
        <f>IF(IFERROR(LEFT(總表!$D$34,SEARCH("+水果",總表!$D$34,1)-1),0)=0,"",IFERROR(LEFT(總表!$D$34,SEARCH("+水果",總表!$D$34,1)-1),0))</f>
        <v>香菇肉粥</v>
      </c>
      <c r="Q56" s="183" t="str">
        <f>IF(第五周!$G$44=0,"",第五周!$G$44)</f>
        <v>生香菇</v>
      </c>
      <c r="R56" s="250">
        <f>R43+7</f>
        <v>45289</v>
      </c>
      <c r="S56" s="238" t="s">
        <v>1164</v>
      </c>
      <c r="T56" s="228" t="str">
        <f>IF(IFERROR(LEFT(總表!$D$35,SEARCH("+水果",總表!$D$35,1)-1),0)=0,"",IFERROR(LEFT(總表!$D$35,SEARCH("+水果",總表!$D$35,1)-1),0))</f>
        <v>白菜冬粉煲</v>
      </c>
      <c r="U56" s="183" t="str">
        <f>IF(第五周!$G$56=0,"",第五周!$G$56)</f>
        <v>捲心白菜</v>
      </c>
      <c r="V56" s="250">
        <f>V43+7</f>
        <v>45290</v>
      </c>
      <c r="W56" s="238" t="s">
        <v>1164</v>
      </c>
      <c r="X56" s="228" t="str">
        <f>IF(IFERROR(LEFT(總表!$D$36,SEARCH("+水果",總表!$D$36,1)-1),0)=0,"",IFERROR(LEFT(總表!$D$36,SEARCH("+水果",總表!$D$36,1)-1),0))</f>
        <v/>
      </c>
      <c r="Y56" s="183" t="str">
        <f>IF(第五周!$G$68=0,"",第五周!$G$68)</f>
        <v/>
      </c>
    </row>
    <row r="57" spans="1:25" ht="14.25" customHeight="1">
      <c r="A57" s="245"/>
      <c r="B57" s="247"/>
      <c r="C57" s="230"/>
      <c r="D57" s="229"/>
      <c r="E57" s="184" t="str">
        <f>IF(第五周!$G$9=0,"",第五周!$G$9)</f>
        <v/>
      </c>
      <c r="F57" s="247"/>
      <c r="G57" s="230"/>
      <c r="H57" s="229"/>
      <c r="I57" s="184" t="str">
        <f>IF(第五周!$G$21=0,"",第五周!$G$21)</f>
        <v>豬肉片</v>
      </c>
      <c r="J57" s="247"/>
      <c r="K57" s="230"/>
      <c r="L57" s="241"/>
      <c r="M57" s="184" t="str">
        <f>IF(第五周!$G$33=0,"",第五周!$G$33)</f>
        <v>雞腿仁丁</v>
      </c>
      <c r="N57" s="247"/>
      <c r="O57" s="230"/>
      <c r="P57" s="229"/>
      <c r="Q57" s="184" t="str">
        <f>IF(第五周!$G$45=0,"",第五周!$G$45)</f>
        <v>大白菜</v>
      </c>
      <c r="R57" s="247"/>
      <c r="S57" s="230"/>
      <c r="T57" s="229"/>
      <c r="U57" s="184" t="str">
        <f>IF(第五周!$G$57=0,"",第五周!$G$57)</f>
        <v>雞蛋</v>
      </c>
      <c r="V57" s="247"/>
      <c r="W57" s="230"/>
      <c r="X57" s="229"/>
      <c r="Y57" s="184" t="str">
        <f>IF(第五周!$G$69=0,"",第五周!$G$69)</f>
        <v/>
      </c>
    </row>
    <row r="58" spans="1:25" ht="14.25" customHeight="1">
      <c r="A58" s="245"/>
      <c r="B58" s="247"/>
      <c r="C58" s="230"/>
      <c r="D58" s="229"/>
      <c r="E58" s="184" t="str">
        <f>IF(第五周!$G$10=0,"",第五周!$G$10)</f>
        <v/>
      </c>
      <c r="F58" s="247"/>
      <c r="G58" s="230"/>
      <c r="H58" s="229"/>
      <c r="I58" s="184" t="str">
        <f>IF(第五周!$G$22=0,"",第五周!$G$22)</f>
        <v>青江菜</v>
      </c>
      <c r="J58" s="247"/>
      <c r="K58" s="230"/>
      <c r="L58" s="241"/>
      <c r="M58" s="184" t="str">
        <f>IF(第五周!$G$34=0,"",第五周!$G$34)</f>
        <v>枸杞</v>
      </c>
      <c r="N58" s="247"/>
      <c r="O58" s="230"/>
      <c r="P58" s="229"/>
      <c r="Q58" s="184" t="str">
        <f>IF(第五周!$G$46=0,"",第五周!$G$46)</f>
        <v>紅蘿蔔</v>
      </c>
      <c r="R58" s="247"/>
      <c r="S58" s="230"/>
      <c r="T58" s="229"/>
      <c r="U58" s="184" t="str">
        <f>IF(第五周!$G$58=0,"",第五周!$G$58)</f>
        <v>木耳</v>
      </c>
      <c r="V58" s="247"/>
      <c r="W58" s="230"/>
      <c r="X58" s="229"/>
      <c r="Y58" s="184" t="str">
        <f>IF(第五周!$G$70=0,"",第五周!$G$70)</f>
        <v/>
      </c>
    </row>
    <row r="59" spans="1:25" ht="14.25" customHeight="1">
      <c r="A59" s="245"/>
      <c r="B59" s="247"/>
      <c r="C59" s="230"/>
      <c r="D59" s="229"/>
      <c r="E59" s="184" t="str">
        <f>IF(第五周!$I$8=0,"",第五周!$I$8)</f>
        <v/>
      </c>
      <c r="F59" s="247"/>
      <c r="G59" s="230"/>
      <c r="H59" s="229"/>
      <c r="I59" s="184" t="str">
        <f>IF(第五周!$I$20=0,"",第五周!$I$20)</f>
        <v>胡蘿蔔</v>
      </c>
      <c r="J59" s="247"/>
      <c r="K59" s="230"/>
      <c r="L59" s="241"/>
      <c r="M59" s="184" t="str">
        <f>IF(第五周!$I$32=0,"",第五周!$I$32)</f>
        <v>薑片</v>
      </c>
      <c r="N59" s="247"/>
      <c r="O59" s="230"/>
      <c r="P59" s="229"/>
      <c r="Q59" s="184" t="str">
        <f>IF(第五周!$I$44=0,"",第五周!$I$44)</f>
        <v>豬絞肉</v>
      </c>
      <c r="R59" s="247"/>
      <c r="S59" s="230"/>
      <c r="T59" s="229"/>
      <c r="U59" s="184" t="str">
        <f>IF(第五周!$I$56=0,"",第五周!$I$56)</f>
        <v>冬粉</v>
      </c>
      <c r="V59" s="247"/>
      <c r="W59" s="230"/>
      <c r="X59" s="229"/>
      <c r="Y59" s="184" t="str">
        <f>IF(第五周!$I$68=0,"",第五周!$I$68)</f>
        <v/>
      </c>
    </row>
    <row r="60" spans="1:25" ht="14.25" customHeight="1">
      <c r="A60" s="245"/>
      <c r="B60" s="247"/>
      <c r="C60" s="230"/>
      <c r="D60" s="229"/>
      <c r="E60" s="184" t="str">
        <f>IF(第五周!$I$9=0,"",第五周!$I$9)</f>
        <v/>
      </c>
      <c r="F60" s="247"/>
      <c r="G60" s="230"/>
      <c r="H60" s="229"/>
      <c r="I60" s="184" t="str">
        <f>IF(第五周!$I$21=0,"",第五周!$I$21)</f>
        <v>青蔥</v>
      </c>
      <c r="J60" s="247"/>
      <c r="K60" s="230"/>
      <c r="L60" s="241"/>
      <c r="M60" s="184" t="str">
        <f>IF(第五周!$I$33=0,"",第五周!$I$33)</f>
        <v>脆筍片</v>
      </c>
      <c r="N60" s="247"/>
      <c r="O60" s="230"/>
      <c r="P60" s="229"/>
      <c r="Q60" s="184" t="str">
        <f>IF(第五周!$I$45=0,"",第五周!$I$45)</f>
        <v>白米</v>
      </c>
      <c r="R60" s="247"/>
      <c r="S60" s="230"/>
      <c r="T60" s="229"/>
      <c r="U60" s="184" t="str">
        <f>IF(第五周!$I$57=0,"",第五周!$I$57)</f>
        <v>蝦皮</v>
      </c>
      <c r="V60" s="247"/>
      <c r="W60" s="230"/>
      <c r="X60" s="229"/>
      <c r="Y60" s="184" t="str">
        <f>IF(第五周!$I$69=0,"",第五周!$I$69)</f>
        <v/>
      </c>
    </row>
    <row r="61" spans="1:25" ht="14.25" customHeight="1">
      <c r="A61" s="245"/>
      <c r="B61" s="247"/>
      <c r="C61" s="230"/>
      <c r="D61" s="229"/>
      <c r="E61" s="187" t="str">
        <f>IF(第五周!$I$10=0,"",第五周!$I$10)</f>
        <v/>
      </c>
      <c r="F61" s="247"/>
      <c r="G61" s="230"/>
      <c r="H61" s="229"/>
      <c r="I61" s="187" t="str">
        <f>IF(第五周!$I$22=0,"",第五周!$I$22)</f>
        <v>豆芽菜</v>
      </c>
      <c r="J61" s="247"/>
      <c r="K61" s="230"/>
      <c r="L61" s="241"/>
      <c r="M61" s="184" t="str">
        <f>IF(第五周!$I$34=0,"",第五周!$I$34)</f>
        <v/>
      </c>
      <c r="N61" s="247"/>
      <c r="O61" s="230"/>
      <c r="P61" s="229"/>
      <c r="Q61" s="187" t="str">
        <f>IF(第五周!$I$46=0,"",第五周!$I$46)</f>
        <v/>
      </c>
      <c r="R61" s="247"/>
      <c r="S61" s="230"/>
      <c r="T61" s="229"/>
      <c r="U61" s="187" t="str">
        <f>IF(第五周!$I$58=0,"",第五周!$I$58)</f>
        <v>蔥</v>
      </c>
      <c r="V61" s="247"/>
      <c r="W61" s="230"/>
      <c r="X61" s="229"/>
      <c r="Y61" s="187" t="str">
        <f>IF(第五周!$I$70=0,"",第五周!$I$70)</f>
        <v/>
      </c>
    </row>
    <row r="62" spans="1:25" ht="14.25" customHeight="1" thickBot="1">
      <c r="A62" s="245"/>
      <c r="B62" s="247"/>
      <c r="C62" s="239"/>
      <c r="D62" s="186" t="str">
        <f>IF(IFERROR(IF(FIND("+水果",總表!$D$31)&gt;0,"水果",""),0)=0,"",IFERROR(IF(FIND("+水果",總表!$D$31)&gt;0,"水果",""),0))</f>
        <v>水果</v>
      </c>
      <c r="E62" s="185" t="str">
        <f>D62</f>
        <v>水果</v>
      </c>
      <c r="F62" s="247"/>
      <c r="G62" s="239"/>
      <c r="H62" s="186" t="str">
        <f>IF(IFERROR(IF(FIND("+水果",總表!$D$32)&gt;0,"水果",""),0)=0,"",IFERROR(IF(FIND("+水果",總表!$D$32)&gt;0,"水果",""),0))</f>
        <v>水果</v>
      </c>
      <c r="I62" s="185" t="str">
        <f>H62</f>
        <v>水果</v>
      </c>
      <c r="J62" s="247"/>
      <c r="K62" s="239"/>
      <c r="L62" s="242"/>
      <c r="M62" s="184"/>
      <c r="N62" s="247"/>
      <c r="O62" s="239"/>
      <c r="P62" s="186" t="str">
        <f>IF(IFERROR(IF(FIND("+水果",總表!$D$34)&gt;0,"水果",""),0)=0,"",IFERROR(IF(FIND("+水果",總表!$D$34)&gt;0,"水果",""),0))</f>
        <v>水果</v>
      </c>
      <c r="Q62" s="185" t="str">
        <f>P62</f>
        <v>水果</v>
      </c>
      <c r="R62" s="247"/>
      <c r="S62" s="239"/>
      <c r="T62" s="186" t="str">
        <f>IF(IFERROR(IF(FIND("+水果",總表!$D$35)&gt;0,"水果",""),0)=0,"",IFERROR(IF(FIND("+水果",總表!$D$35)&gt;0,"水果",""),0))</f>
        <v>水果</v>
      </c>
      <c r="U62" s="185" t="str">
        <f>T62</f>
        <v>水果</v>
      </c>
      <c r="V62" s="247"/>
      <c r="W62" s="239"/>
      <c r="X62" s="186" t="str">
        <f>IF(IFERROR(IF(FIND("+水果",總表!$D$36)&gt;0,"水果",""),0)=0,"",IFERROR(IF(FIND("+水果",總表!$D$36)&gt;0,"水果",""),0))</f>
        <v/>
      </c>
      <c r="Y62" s="185" t="str">
        <f>X62</f>
        <v/>
      </c>
    </row>
    <row r="63" spans="1:25" ht="14.25" customHeight="1" thickTop="1">
      <c r="A63" s="245"/>
      <c r="B63" s="247"/>
      <c r="C63" s="230" t="s">
        <v>1165</v>
      </c>
      <c r="D63" s="232" t="str">
        <f>IF(總表!$E$31=0,"",總表!$E$31)</f>
        <v>小兔包+豆漿</v>
      </c>
      <c r="E63" s="198" t="str">
        <f>IF(第五周!$G$17=0,"",第五周!$G$17)</f>
        <v>豆漿</v>
      </c>
      <c r="F63" s="247"/>
      <c r="G63" s="230" t="s">
        <v>1165</v>
      </c>
      <c r="H63" s="232" t="str">
        <f>IF(總表!$E$32=0,"",總表!$E$32)</f>
        <v>薑汁地瓜甜湯</v>
      </c>
      <c r="I63" s="198" t="str">
        <f>IF(第五周!$G$28=0,"",第五周!$G$28)</f>
        <v>黑糖</v>
      </c>
      <c r="J63" s="247"/>
      <c r="K63" s="230" t="s">
        <v>1165</v>
      </c>
      <c r="L63" s="232" t="str">
        <f>IF(總表!E33=0,"",總表!E33)</f>
        <v>茶葉蛋+羅漢果茶</v>
      </c>
      <c r="M63" s="198" t="str">
        <f>IF(第五周!$G$41=0,"",第五周!$G$41)</f>
        <v>羅漢果茶</v>
      </c>
      <c r="N63" s="247"/>
      <c r="O63" s="230" t="s">
        <v>1165</v>
      </c>
      <c r="P63" s="232" t="str">
        <f>IF(總表!$E$34=0,"",總表!$E$34)</f>
        <v>關東煮</v>
      </c>
      <c r="Q63" s="198" t="str">
        <f>IF(第五周!$G$50=0,"",第五周!$G$50)</f>
        <v>白蘿蔔</v>
      </c>
      <c r="R63" s="247"/>
      <c r="S63" s="230" t="s">
        <v>1165</v>
      </c>
      <c r="T63" s="232" t="str">
        <f>IF(總表!$E$35=0,"",總表!$E$35)</f>
        <v>紅豆湯圓</v>
      </c>
      <c r="U63" s="198" t="str">
        <f>IF(第五周!$G$62=0,"",第五周!$G$62)</f>
        <v>紅豆</v>
      </c>
      <c r="V63" s="247"/>
      <c r="W63" s="230" t="s">
        <v>1165</v>
      </c>
      <c r="X63" s="232" t="str">
        <f>IF(總表!$E$36=0,"",總表!$E$36)</f>
        <v/>
      </c>
      <c r="Y63" s="198" t="str">
        <f>IF(第五周!$G$74=0,"",第五周!$G$74)</f>
        <v/>
      </c>
    </row>
    <row r="64" spans="1:25" ht="14.25" customHeight="1">
      <c r="A64" s="245"/>
      <c r="B64" s="247"/>
      <c r="C64" s="230"/>
      <c r="D64" s="233"/>
      <c r="E64" s="184" t="str">
        <f>IF(第五周!$G$14=0,"",第五周!$G$14)</f>
        <v>小兔包</v>
      </c>
      <c r="F64" s="247"/>
      <c r="G64" s="230"/>
      <c r="H64" s="233"/>
      <c r="I64" s="184" t="str">
        <f>IF(第五周!$G$26=0,"",第五周!$G$26)</f>
        <v>黃地瓜</v>
      </c>
      <c r="J64" s="247"/>
      <c r="K64" s="230"/>
      <c r="L64" s="233"/>
      <c r="M64" s="184" t="str">
        <f>IF(第五周!$G$38=0,"",第五周!$G$38)</f>
        <v>雞蛋</v>
      </c>
      <c r="N64" s="247"/>
      <c r="O64" s="230"/>
      <c r="P64" s="233"/>
      <c r="Q64" s="184" t="str">
        <f>IF(第五周!$G$51=0,"",第五周!$G$51)</f>
        <v>豬血糕</v>
      </c>
      <c r="R64" s="247"/>
      <c r="S64" s="230"/>
      <c r="T64" s="233"/>
      <c r="U64" s="184" t="str">
        <f>IF(第五周!$G$63=0,"",第五周!$G$63)</f>
        <v>小湯圓</v>
      </c>
      <c r="V64" s="247"/>
      <c r="W64" s="230"/>
      <c r="X64" s="233"/>
      <c r="Y64" s="184" t="str">
        <f>IF(第五周!$G$75=0,"",第五周!$G$75)</f>
        <v/>
      </c>
    </row>
    <row r="65" spans="1:25" ht="14.25" customHeight="1">
      <c r="A65" s="245"/>
      <c r="B65" s="247"/>
      <c r="C65" s="230"/>
      <c r="D65" s="233"/>
      <c r="E65" s="184" t="str">
        <f>IF(第五周!$G$15=0,"",第五周!$G$15)</f>
        <v/>
      </c>
      <c r="F65" s="247"/>
      <c r="G65" s="230"/>
      <c r="H65" s="233"/>
      <c r="I65" s="184" t="str">
        <f>IF(第五周!$G$27=0,"",第五周!$G$27)</f>
        <v>薑汁</v>
      </c>
      <c r="J65" s="247"/>
      <c r="K65" s="230"/>
      <c r="L65" s="233"/>
      <c r="M65" s="184" t="str">
        <f>IF(第五周!$G$39=0,"",第五周!$G$39)</f>
        <v>茶葉蛋滷包</v>
      </c>
      <c r="N65" s="247"/>
      <c r="O65" s="230"/>
      <c r="P65" s="233"/>
      <c r="Q65" s="184" t="str">
        <f>IF(第五周!$G$52=0,"",第五周!$G$52)</f>
        <v>甜不辣條</v>
      </c>
      <c r="R65" s="247"/>
      <c r="S65" s="230"/>
      <c r="T65" s="233"/>
      <c r="U65" s="184" t="str">
        <f>IF(第五周!$G$64=0,"",第五周!$G$64)</f>
        <v>二砂糖</v>
      </c>
      <c r="V65" s="247"/>
      <c r="W65" s="230"/>
      <c r="X65" s="233"/>
      <c r="Y65" s="184" t="str">
        <f>IF(第五周!$G$76=0,"",第五周!$G$76)</f>
        <v/>
      </c>
    </row>
    <row r="66" spans="1:25" ht="14.25" customHeight="1">
      <c r="A66" s="245"/>
      <c r="B66" s="247"/>
      <c r="C66" s="230"/>
      <c r="D66" s="233"/>
      <c r="E66" s="184" t="str">
        <f>IF(第五周!$G$16=0,"",第五周!$G$16)</f>
        <v/>
      </c>
      <c r="F66" s="247"/>
      <c r="G66" s="230"/>
      <c r="H66" s="233"/>
      <c r="I66" s="184" t="str">
        <f>IF(第五周!$G$29=0,"",第五周!$G$29)</f>
        <v/>
      </c>
      <c r="J66" s="247"/>
      <c r="K66" s="230"/>
      <c r="L66" s="233"/>
      <c r="M66" s="184" t="str">
        <f>IF(第五周!$G$40=0,"",第五周!$G$40)</f>
        <v/>
      </c>
      <c r="N66" s="247"/>
      <c r="O66" s="230"/>
      <c r="P66" s="233"/>
      <c r="Q66" s="184" t="str">
        <f>IF(第五周!$G$53=0,"",第五周!$G$53)</f>
        <v/>
      </c>
      <c r="R66" s="247"/>
      <c r="S66" s="230"/>
      <c r="T66" s="233"/>
      <c r="U66" s="184" t="str">
        <f>IF(第五周!$G$65=0,"",第五周!$G$65)</f>
        <v/>
      </c>
      <c r="V66" s="247"/>
      <c r="W66" s="230"/>
      <c r="X66" s="233"/>
      <c r="Y66" s="184" t="str">
        <f>IF(第五周!$G$77=0,"",第五周!$G$77)</f>
        <v/>
      </c>
    </row>
    <row r="67" spans="1:25" ht="14.25" customHeight="1">
      <c r="A67" s="245"/>
      <c r="B67" s="247"/>
      <c r="C67" s="230"/>
      <c r="D67" s="233"/>
      <c r="E67" s="184" t="str">
        <f>IF(第五周!$G$18=0,"",第五周!$G$18)</f>
        <v/>
      </c>
      <c r="F67" s="247"/>
      <c r="G67" s="230"/>
      <c r="H67" s="233"/>
      <c r="I67" s="184" t="str">
        <f>IF(第五周!$G$30=0,"",第五周!$G$30)</f>
        <v/>
      </c>
      <c r="J67" s="247"/>
      <c r="K67" s="230"/>
      <c r="L67" s="233"/>
      <c r="M67" s="184" t="str">
        <f>IF(第五周!$G$42=0,"",第五周!$G$42)</f>
        <v/>
      </c>
      <c r="N67" s="247"/>
      <c r="O67" s="230"/>
      <c r="P67" s="233"/>
      <c r="Q67" s="184" t="str">
        <f>IF(第五周!$G$54=0,"",第五周!$G$54)</f>
        <v/>
      </c>
      <c r="R67" s="247"/>
      <c r="S67" s="230"/>
      <c r="T67" s="233"/>
      <c r="U67" s="184" t="str">
        <f>IF(第五周!$G$66=0,"",第五周!$G$66)</f>
        <v/>
      </c>
      <c r="V67" s="247"/>
      <c r="W67" s="230"/>
      <c r="X67" s="233"/>
      <c r="Y67" s="184" t="str">
        <f>IF(第五周!$G$78=0,"",第五周!$G$78)</f>
        <v/>
      </c>
    </row>
    <row r="68" spans="1:25" ht="14.25" customHeight="1" thickBot="1">
      <c r="A68" s="246"/>
      <c r="B68" s="248"/>
      <c r="C68" s="230"/>
      <c r="D68" s="234"/>
      <c r="E68" s="188" t="str">
        <f>IF(第五周!$G$19=0,"",第五周!$G$19)</f>
        <v/>
      </c>
      <c r="F68" s="248"/>
      <c r="G68" s="230"/>
      <c r="H68" s="234"/>
      <c r="I68" s="188" t="str">
        <f>IF(第五周!$G$31=0,"",第五周!$G$31)</f>
        <v/>
      </c>
      <c r="J68" s="248"/>
      <c r="K68" s="230"/>
      <c r="L68" s="234"/>
      <c r="M68" s="188" t="str">
        <f>IF(第五周!$G$43=0,"",第五周!$G$43)</f>
        <v/>
      </c>
      <c r="N68" s="248"/>
      <c r="O68" s="230"/>
      <c r="P68" s="234"/>
      <c r="Q68" s="188" t="str">
        <f>IF(第五周!$G$55=0,"",第五周!$G$55)</f>
        <v/>
      </c>
      <c r="R68" s="248"/>
      <c r="S68" s="230"/>
      <c r="T68" s="234"/>
      <c r="U68" s="188" t="str">
        <f>IF(第五周!$G$67=0,"",第五周!$G$67)</f>
        <v/>
      </c>
      <c r="V68" s="248"/>
      <c r="W68" s="231"/>
      <c r="X68" s="234"/>
      <c r="Y68" s="188" t="str">
        <f>IF(第五周!$G$79=0,"",第五周!$G$79)</f>
        <v/>
      </c>
    </row>
    <row r="69" spans="1:25" ht="14.25" customHeight="1">
      <c r="A69" s="251" t="s">
        <v>1266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3"/>
      <c r="V69" s="13"/>
      <c r="W69" s="13"/>
      <c r="X69" s="13"/>
      <c r="Y69" s="189"/>
    </row>
    <row r="70" spans="1:25" ht="14.25" customHeight="1">
      <c r="A70" s="25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6"/>
      <c r="V70" s="13"/>
      <c r="W70" s="13"/>
      <c r="X70" s="13"/>
      <c r="Y70" s="190"/>
    </row>
    <row r="71" spans="1:25" ht="35.1" customHeight="1">
      <c r="A71" s="25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6"/>
      <c r="V71" s="13"/>
      <c r="W71" s="13"/>
      <c r="X71" s="13"/>
      <c r="Y71" s="190"/>
    </row>
    <row r="72" spans="1:25" ht="35.1" customHeight="1" thickBot="1">
      <c r="A72" s="25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9"/>
      <c r="V72" s="191"/>
      <c r="W72" s="191"/>
      <c r="X72" s="191"/>
      <c r="Y72" s="192"/>
    </row>
    <row r="73" spans="1:25" ht="35.1" customHeight="1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1"/>
      <c r="S73" s="1"/>
      <c r="T73" s="1"/>
      <c r="U73" s="193"/>
    </row>
    <row r="74" spans="1:25" ht="35.1" customHeight="1">
      <c r="A74" s="261" t="s">
        <v>1170</v>
      </c>
      <c r="B74" s="261"/>
      <c r="C74" s="261"/>
      <c r="D74" s="261"/>
      <c r="E74" s="261"/>
      <c r="F74" s="261"/>
      <c r="G74" s="261"/>
      <c r="H74" s="261"/>
      <c r="I74" s="194"/>
      <c r="J74" s="194"/>
      <c r="K74" s="194"/>
      <c r="L74" s="261" t="s">
        <v>1267</v>
      </c>
      <c r="M74" s="261"/>
      <c r="N74" s="261"/>
      <c r="O74" s="1"/>
      <c r="P74" s="1"/>
      <c r="Q74" s="1"/>
      <c r="R74" s="1"/>
      <c r="S74" s="1"/>
      <c r="T74" s="1"/>
      <c r="U74" s="1"/>
    </row>
    <row r="75" spans="1:25" ht="25.5">
      <c r="A75" s="262"/>
      <c r="B75" s="262"/>
      <c r="C75" s="262"/>
      <c r="D75" s="262"/>
      <c r="E75" s="262"/>
      <c r="F75" s="262"/>
      <c r="G75" s="194"/>
      <c r="H75" s="194"/>
      <c r="I75" s="195"/>
      <c r="J75" s="194"/>
      <c r="K75" s="194"/>
      <c r="L75" s="196"/>
      <c r="M75" s="196"/>
      <c r="N75" s="196"/>
      <c r="O75" s="1"/>
      <c r="P75" s="1"/>
      <c r="Q75" s="1"/>
      <c r="R75" s="1"/>
      <c r="S75" s="1"/>
      <c r="T75" s="1"/>
      <c r="U75" s="1"/>
    </row>
    <row r="76" spans="1:25" ht="25.5">
      <c r="A76" s="263" t="s">
        <v>1171</v>
      </c>
      <c r="B76" s="263"/>
      <c r="C76" s="263"/>
      <c r="D76" s="263"/>
      <c r="E76" s="263"/>
      <c r="F76" s="263"/>
      <c r="G76" s="263"/>
      <c r="H76" s="263"/>
      <c r="I76" s="194"/>
      <c r="J76" s="194"/>
      <c r="K76" s="194"/>
      <c r="L76" s="261" t="s">
        <v>1172</v>
      </c>
      <c r="M76" s="261"/>
      <c r="N76" s="261"/>
      <c r="O76" s="1"/>
      <c r="P76" s="1"/>
      <c r="Q76" s="1"/>
      <c r="R76" s="1"/>
      <c r="S76" s="1"/>
      <c r="T76" s="1"/>
      <c r="U76" s="1"/>
    </row>
  </sheetData>
  <sheetProtection formatCells="0" selectLockedCells="1" selectUnlockedCells="1"/>
  <sortState xmlns:xlrd2="http://schemas.microsoft.com/office/spreadsheetml/2017/richdata2" ref="Q37:Q41">
    <sortCondition descending="1" ref="Q37:Q41"/>
  </sortState>
  <mergeCells count="169">
    <mergeCell ref="P63:P68"/>
    <mergeCell ref="A69:U72"/>
    <mergeCell ref="A73:Q73"/>
    <mergeCell ref="A74:H74"/>
    <mergeCell ref="L74:N74"/>
    <mergeCell ref="A75:F75"/>
    <mergeCell ref="A76:H76"/>
    <mergeCell ref="L76:N76"/>
    <mergeCell ref="C63:C68"/>
    <mergeCell ref="D63:D68"/>
    <mergeCell ref="G63:G68"/>
    <mergeCell ref="H63:H68"/>
    <mergeCell ref="K63:K68"/>
    <mergeCell ref="L63:L68"/>
    <mergeCell ref="R56:R68"/>
    <mergeCell ref="S56:S62"/>
    <mergeCell ref="T56:T61"/>
    <mergeCell ref="T50:T55"/>
    <mergeCell ref="W50:W55"/>
    <mergeCell ref="X50:X55"/>
    <mergeCell ref="A56:A68"/>
    <mergeCell ref="B56:B68"/>
    <mergeCell ref="C56:C62"/>
    <mergeCell ref="D56:D61"/>
    <mergeCell ref="F56:F68"/>
    <mergeCell ref="G56:G62"/>
    <mergeCell ref="H56:H61"/>
    <mergeCell ref="V56:V68"/>
    <mergeCell ref="W56:W62"/>
    <mergeCell ref="X56:X61"/>
    <mergeCell ref="S63:S68"/>
    <mergeCell ref="T63:T68"/>
    <mergeCell ref="W63:W68"/>
    <mergeCell ref="X63:X68"/>
    <mergeCell ref="J56:J68"/>
    <mergeCell ref="K56:K62"/>
    <mergeCell ref="L56:L62"/>
    <mergeCell ref="N56:N68"/>
    <mergeCell ref="O56:O62"/>
    <mergeCell ref="P56:P61"/>
    <mergeCell ref="O63:O68"/>
    <mergeCell ref="K50:K55"/>
    <mergeCell ref="L50:L55"/>
    <mergeCell ref="L43:L49"/>
    <mergeCell ref="N43:N55"/>
    <mergeCell ref="O43:O49"/>
    <mergeCell ref="P43:P48"/>
    <mergeCell ref="R43:R55"/>
    <mergeCell ref="S43:S49"/>
    <mergeCell ref="O50:O55"/>
    <mergeCell ref="P50:P55"/>
    <mergeCell ref="S50:S55"/>
    <mergeCell ref="H30:H35"/>
    <mergeCell ref="J30:J42"/>
    <mergeCell ref="K30:K36"/>
    <mergeCell ref="L30:L36"/>
    <mergeCell ref="N30:N42"/>
    <mergeCell ref="O30:O36"/>
    <mergeCell ref="X37:X42"/>
    <mergeCell ref="A43:A55"/>
    <mergeCell ref="B43:B55"/>
    <mergeCell ref="C43:C49"/>
    <mergeCell ref="D43:D48"/>
    <mergeCell ref="F43:F55"/>
    <mergeCell ref="G43:G49"/>
    <mergeCell ref="H43:H48"/>
    <mergeCell ref="J43:J55"/>
    <mergeCell ref="K43:K49"/>
    <mergeCell ref="T43:T48"/>
    <mergeCell ref="V43:V55"/>
    <mergeCell ref="W43:W49"/>
    <mergeCell ref="X43:X48"/>
    <mergeCell ref="C50:C55"/>
    <mergeCell ref="D50:D55"/>
    <mergeCell ref="G50:G55"/>
    <mergeCell ref="H50:H55"/>
    <mergeCell ref="A30:A42"/>
    <mergeCell ref="B30:B42"/>
    <mergeCell ref="C30:C36"/>
    <mergeCell ref="D30:D35"/>
    <mergeCell ref="F30:F42"/>
    <mergeCell ref="G30:G36"/>
    <mergeCell ref="X30:X35"/>
    <mergeCell ref="C37:C42"/>
    <mergeCell ref="D37:D42"/>
    <mergeCell ref="G37:G42"/>
    <mergeCell ref="H37:H42"/>
    <mergeCell ref="K37:K42"/>
    <mergeCell ref="L37:L42"/>
    <mergeCell ref="O37:O42"/>
    <mergeCell ref="P37:P42"/>
    <mergeCell ref="S37:S42"/>
    <mergeCell ref="P30:P35"/>
    <mergeCell ref="R30:R42"/>
    <mergeCell ref="S30:S36"/>
    <mergeCell ref="T30:T35"/>
    <mergeCell ref="V30:V42"/>
    <mergeCell ref="W30:W36"/>
    <mergeCell ref="T37:T42"/>
    <mergeCell ref="W37:W42"/>
    <mergeCell ref="V17:V29"/>
    <mergeCell ref="W17:W23"/>
    <mergeCell ref="X17:X22"/>
    <mergeCell ref="C24:C29"/>
    <mergeCell ref="D24:D29"/>
    <mergeCell ref="G24:G29"/>
    <mergeCell ref="H24:H29"/>
    <mergeCell ref="K24:K29"/>
    <mergeCell ref="K17:K23"/>
    <mergeCell ref="L17:L23"/>
    <mergeCell ref="N17:N29"/>
    <mergeCell ref="O17:O23"/>
    <mergeCell ref="P17:P22"/>
    <mergeCell ref="R17:R29"/>
    <mergeCell ref="L24:L29"/>
    <mergeCell ref="O24:O29"/>
    <mergeCell ref="P24:P29"/>
    <mergeCell ref="S24:S29"/>
    <mergeCell ref="T24:T29"/>
    <mergeCell ref="W24:W29"/>
    <mergeCell ref="X24:X29"/>
    <mergeCell ref="H4:H9"/>
    <mergeCell ref="J4:J16"/>
    <mergeCell ref="K4:K10"/>
    <mergeCell ref="L4:L10"/>
    <mergeCell ref="N4:N16"/>
    <mergeCell ref="O4:O10"/>
    <mergeCell ref="C4:C10"/>
    <mergeCell ref="X11:X16"/>
    <mergeCell ref="A17:A29"/>
    <mergeCell ref="B17:B29"/>
    <mergeCell ref="C17:C23"/>
    <mergeCell ref="D17:D22"/>
    <mergeCell ref="F17:F29"/>
    <mergeCell ref="G17:G23"/>
    <mergeCell ref="H17:H22"/>
    <mergeCell ref="J17:J29"/>
    <mergeCell ref="A4:A16"/>
    <mergeCell ref="B4:B16"/>
    <mergeCell ref="D4:D9"/>
    <mergeCell ref="F4:F16"/>
    <mergeCell ref="G4:G10"/>
    <mergeCell ref="D11:D16"/>
    <mergeCell ref="S17:S23"/>
    <mergeCell ref="T17:T22"/>
    <mergeCell ref="A1:Y1"/>
    <mergeCell ref="B3:E3"/>
    <mergeCell ref="F3:I3"/>
    <mergeCell ref="J3:M3"/>
    <mergeCell ref="N3:Q3"/>
    <mergeCell ref="R3:U3"/>
    <mergeCell ref="V3:Y3"/>
    <mergeCell ref="X4:X9"/>
    <mergeCell ref="C11:C16"/>
    <mergeCell ref="G11:G16"/>
    <mergeCell ref="H11:H16"/>
    <mergeCell ref="K11:K16"/>
    <mergeCell ref="L11:L16"/>
    <mergeCell ref="O11:O16"/>
    <mergeCell ref="P11:P16"/>
    <mergeCell ref="S11:S16"/>
    <mergeCell ref="P4:P9"/>
    <mergeCell ref="R4:R16"/>
    <mergeCell ref="S4:S10"/>
    <mergeCell ref="T4:T9"/>
    <mergeCell ref="V4:V16"/>
    <mergeCell ref="W4:W10"/>
    <mergeCell ref="T11:T16"/>
    <mergeCell ref="W11:W16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9"/>
  <sheetViews>
    <sheetView workbookViewId="0">
      <pane ySplit="1" topLeftCell="A80" activePane="bottomLeft" state="frozen"/>
      <selection pane="bottomLeft" activeCell="F90" sqref="F90"/>
    </sheetView>
  </sheetViews>
  <sheetFormatPr defaultRowHeight="16.5"/>
  <cols>
    <col min="1" max="1" width="17.875" customWidth="1"/>
  </cols>
  <sheetData>
    <row r="1" spans="1:15" ht="84">
      <c r="A1" s="107" t="s">
        <v>465</v>
      </c>
      <c r="B1" s="101" t="s">
        <v>466</v>
      </c>
      <c r="C1" s="102" t="s">
        <v>467</v>
      </c>
      <c r="D1" s="102" t="s">
        <v>468</v>
      </c>
      <c r="E1" s="101" t="s">
        <v>469</v>
      </c>
      <c r="F1" s="101" t="s">
        <v>470</v>
      </c>
      <c r="G1" s="120" t="s">
        <v>471</v>
      </c>
      <c r="H1" s="121" t="s">
        <v>472</v>
      </c>
      <c r="I1" s="139" t="s">
        <v>223</v>
      </c>
      <c r="J1" s="140" t="s">
        <v>224</v>
      </c>
      <c r="K1" s="140" t="s">
        <v>225</v>
      </c>
      <c r="L1" s="140" t="s">
        <v>226</v>
      </c>
      <c r="M1" s="140" t="s">
        <v>227</v>
      </c>
      <c r="N1" s="141" t="s">
        <v>228</v>
      </c>
      <c r="O1" s="142" t="s">
        <v>229</v>
      </c>
    </row>
    <row r="2" spans="1:15">
      <c r="A2" s="118" t="s">
        <v>473</v>
      </c>
      <c r="B2" s="101"/>
      <c r="C2" s="107" t="s">
        <v>120</v>
      </c>
      <c r="D2" s="102" t="s">
        <v>474</v>
      </c>
      <c r="E2" s="101">
        <v>47.25</v>
      </c>
      <c r="F2" s="101" t="s">
        <v>475</v>
      </c>
      <c r="G2" s="108"/>
      <c r="H2" s="122"/>
      <c r="I2" s="126">
        <v>20</v>
      </c>
      <c r="J2" s="108"/>
      <c r="K2" s="108"/>
      <c r="L2" s="108"/>
      <c r="M2" s="108"/>
      <c r="N2" s="108"/>
      <c r="O2" s="127"/>
    </row>
    <row r="3" spans="1:15">
      <c r="A3" s="118" t="s">
        <v>476</v>
      </c>
      <c r="B3" s="101"/>
      <c r="C3" s="107" t="s">
        <v>120</v>
      </c>
      <c r="D3" s="102" t="s">
        <v>477</v>
      </c>
      <c r="E3" s="101">
        <v>4.7</v>
      </c>
      <c r="F3" s="101" t="s">
        <v>478</v>
      </c>
      <c r="G3" s="108"/>
      <c r="H3" s="122"/>
      <c r="I3" s="126">
        <v>2</v>
      </c>
      <c r="J3" s="108"/>
      <c r="K3" s="108"/>
      <c r="L3" s="108"/>
      <c r="M3" s="108"/>
      <c r="N3" s="108"/>
      <c r="O3" s="127"/>
    </row>
    <row r="4" spans="1:15">
      <c r="A4" s="117" t="s">
        <v>380</v>
      </c>
      <c r="B4" s="105" t="s">
        <v>479</v>
      </c>
      <c r="C4" s="105" t="s">
        <v>480</v>
      </c>
      <c r="D4" s="105" t="s">
        <v>481</v>
      </c>
      <c r="E4" s="103">
        <v>48</v>
      </c>
      <c r="F4" s="106"/>
      <c r="G4" s="108"/>
      <c r="H4" s="122"/>
      <c r="I4" s="126">
        <v>2.2000000000000002</v>
      </c>
      <c r="J4" s="108"/>
      <c r="K4" s="108"/>
      <c r="L4" s="108"/>
      <c r="M4" s="108"/>
      <c r="N4" s="108"/>
      <c r="O4" s="127"/>
    </row>
    <row r="5" spans="1:15">
      <c r="A5" s="117" t="s">
        <v>480</v>
      </c>
      <c r="B5" s="105" t="s">
        <v>479</v>
      </c>
      <c r="C5" s="105" t="s">
        <v>480</v>
      </c>
      <c r="D5" s="105" t="s">
        <v>481</v>
      </c>
      <c r="E5" s="103">
        <v>48</v>
      </c>
      <c r="F5" s="106"/>
      <c r="G5" s="108"/>
      <c r="H5" s="122"/>
      <c r="I5" s="126">
        <v>2.2000000000000002</v>
      </c>
      <c r="J5" s="108"/>
      <c r="K5" s="108"/>
      <c r="L5" s="108"/>
      <c r="M5" s="108"/>
      <c r="N5" s="108"/>
      <c r="O5" s="127"/>
    </row>
    <row r="6" spans="1:15">
      <c r="A6" s="116" t="s">
        <v>482</v>
      </c>
      <c r="B6" s="102" t="s">
        <v>483</v>
      </c>
      <c r="C6" s="102" t="s">
        <v>482</v>
      </c>
      <c r="D6" s="102" t="s">
        <v>484</v>
      </c>
      <c r="E6" s="103">
        <v>95</v>
      </c>
      <c r="F6" s="101"/>
      <c r="G6" s="108"/>
      <c r="H6" s="122"/>
      <c r="I6" s="126"/>
      <c r="J6" s="108"/>
      <c r="K6" s="108"/>
      <c r="L6" s="108"/>
      <c r="M6" s="108">
        <v>7.5</v>
      </c>
      <c r="N6" s="108"/>
      <c r="O6" s="127"/>
    </row>
    <row r="7" spans="1:15">
      <c r="A7" s="118" t="s">
        <v>396</v>
      </c>
      <c r="B7" s="101"/>
      <c r="C7" s="107" t="s">
        <v>396</v>
      </c>
      <c r="D7" s="101" t="s">
        <v>485</v>
      </c>
      <c r="E7" s="101">
        <v>89.25</v>
      </c>
      <c r="F7" s="101" t="s">
        <v>486</v>
      </c>
      <c r="G7" s="108"/>
      <c r="H7" s="122"/>
      <c r="I7" s="128">
        <v>0.2</v>
      </c>
      <c r="J7" s="112">
        <v>0.2</v>
      </c>
      <c r="K7" s="108"/>
      <c r="L7" s="108"/>
      <c r="M7" s="108"/>
      <c r="N7" s="108">
        <v>0.2</v>
      </c>
      <c r="O7" s="127"/>
    </row>
    <row r="8" spans="1:15">
      <c r="A8" s="117" t="s">
        <v>432</v>
      </c>
      <c r="B8" s="105" t="s">
        <v>487</v>
      </c>
      <c r="C8" s="105" t="s">
        <v>432</v>
      </c>
      <c r="D8" s="105" t="s">
        <v>488</v>
      </c>
      <c r="E8" s="103">
        <v>85</v>
      </c>
      <c r="F8" s="106"/>
      <c r="G8" s="108"/>
      <c r="H8" s="122"/>
      <c r="I8" s="126"/>
      <c r="J8" s="108"/>
      <c r="K8" s="108"/>
      <c r="L8" s="108"/>
      <c r="M8" s="108"/>
      <c r="N8" s="108"/>
      <c r="O8" s="127">
        <v>2000</v>
      </c>
    </row>
    <row r="9" spans="1:15">
      <c r="A9" s="117" t="s">
        <v>489</v>
      </c>
      <c r="B9" s="105" t="s">
        <v>490</v>
      </c>
      <c r="C9" s="105" t="s">
        <v>489</v>
      </c>
      <c r="D9" s="105" t="s">
        <v>474</v>
      </c>
      <c r="E9" s="103">
        <v>80</v>
      </c>
      <c r="F9" s="106"/>
      <c r="G9" s="108">
        <v>20</v>
      </c>
      <c r="H9" s="122"/>
      <c r="I9" s="126"/>
      <c r="J9" s="108"/>
      <c r="K9" s="108"/>
      <c r="L9" s="108"/>
      <c r="M9" s="108">
        <v>12.5</v>
      </c>
      <c r="N9" s="108"/>
      <c r="O9" s="127"/>
    </row>
    <row r="10" spans="1:15">
      <c r="A10" s="118" t="s">
        <v>186</v>
      </c>
      <c r="B10" s="101" t="s">
        <v>491</v>
      </c>
      <c r="C10" s="101" t="s">
        <v>492</v>
      </c>
      <c r="D10" s="101" t="s">
        <v>481</v>
      </c>
      <c r="E10" s="103">
        <v>27.92</v>
      </c>
      <c r="F10" s="101"/>
      <c r="G10" s="108"/>
      <c r="H10" s="122"/>
      <c r="I10" s="126">
        <v>25</v>
      </c>
      <c r="J10" s="108"/>
      <c r="K10" s="108"/>
      <c r="L10" s="108"/>
      <c r="M10" s="108"/>
      <c r="N10" s="108"/>
      <c r="O10" s="127"/>
    </row>
    <row r="11" spans="1:15">
      <c r="A11" s="118" t="s">
        <v>110</v>
      </c>
      <c r="B11" s="101" t="s">
        <v>491</v>
      </c>
      <c r="C11" s="101" t="s">
        <v>492</v>
      </c>
      <c r="D11" s="101" t="s">
        <v>481</v>
      </c>
      <c r="E11" s="103">
        <v>27.92</v>
      </c>
      <c r="F11" s="101"/>
      <c r="G11" s="108"/>
      <c r="H11" s="122"/>
      <c r="I11" s="126">
        <v>25</v>
      </c>
      <c r="J11" s="108"/>
      <c r="K11" s="108"/>
      <c r="L11" s="108"/>
      <c r="M11" s="108"/>
      <c r="N11" s="108"/>
      <c r="O11" s="127"/>
    </row>
    <row r="12" spans="1:15">
      <c r="A12" s="118" t="s">
        <v>493</v>
      </c>
      <c r="B12" s="101" t="s">
        <v>491</v>
      </c>
      <c r="C12" s="101" t="s">
        <v>492</v>
      </c>
      <c r="D12" s="101" t="s">
        <v>481</v>
      </c>
      <c r="E12" s="103">
        <v>27.92</v>
      </c>
      <c r="F12" s="101"/>
      <c r="G12" s="108"/>
      <c r="H12" s="122"/>
      <c r="I12" s="126">
        <v>25</v>
      </c>
      <c r="J12" s="108"/>
      <c r="K12" s="108"/>
      <c r="L12" s="108"/>
      <c r="M12" s="108"/>
      <c r="N12" s="108"/>
      <c r="O12" s="127"/>
    </row>
    <row r="13" spans="1:15">
      <c r="A13" s="118" t="s">
        <v>492</v>
      </c>
      <c r="B13" s="101" t="s">
        <v>491</v>
      </c>
      <c r="C13" s="101" t="s">
        <v>492</v>
      </c>
      <c r="D13" s="101" t="s">
        <v>481</v>
      </c>
      <c r="E13" s="103">
        <v>27.92</v>
      </c>
      <c r="F13" s="101"/>
      <c r="G13" s="108"/>
      <c r="H13" s="122"/>
      <c r="I13" s="126">
        <v>25</v>
      </c>
      <c r="J13" s="108"/>
      <c r="K13" s="108"/>
      <c r="L13" s="108"/>
      <c r="M13" s="108"/>
      <c r="N13" s="108"/>
      <c r="O13" s="127"/>
    </row>
    <row r="14" spans="1:15">
      <c r="A14" s="118" t="s">
        <v>415</v>
      </c>
      <c r="B14" s="101" t="s">
        <v>494</v>
      </c>
      <c r="C14" s="101" t="s">
        <v>495</v>
      </c>
      <c r="D14" s="101" t="s">
        <v>485</v>
      </c>
      <c r="E14" s="103">
        <v>346.5</v>
      </c>
      <c r="F14" s="101" t="s">
        <v>496</v>
      </c>
      <c r="G14" s="108">
        <v>60</v>
      </c>
      <c r="H14" s="122"/>
      <c r="I14" s="126"/>
      <c r="J14" s="108">
        <v>0.5</v>
      </c>
      <c r="K14" s="108"/>
      <c r="L14" s="108"/>
      <c r="M14" s="108"/>
      <c r="N14" s="108"/>
      <c r="O14" s="127"/>
    </row>
    <row r="15" spans="1:15">
      <c r="A15" s="118" t="s">
        <v>495</v>
      </c>
      <c r="B15" s="101" t="s">
        <v>494</v>
      </c>
      <c r="C15" s="101" t="s">
        <v>495</v>
      </c>
      <c r="D15" s="101" t="s">
        <v>481</v>
      </c>
      <c r="E15" s="103">
        <v>346.5</v>
      </c>
      <c r="F15" s="101" t="s">
        <v>496</v>
      </c>
      <c r="G15" s="108">
        <v>60</v>
      </c>
      <c r="H15" s="122"/>
      <c r="I15" s="126"/>
      <c r="J15" s="108">
        <v>0.5</v>
      </c>
      <c r="K15" s="108"/>
      <c r="L15" s="108"/>
      <c r="M15" s="108"/>
      <c r="N15" s="108"/>
      <c r="O15" s="127"/>
    </row>
    <row r="16" spans="1:15">
      <c r="A16" s="116" t="s">
        <v>497</v>
      </c>
      <c r="B16" s="102" t="s">
        <v>498</v>
      </c>
      <c r="C16" s="102" t="s">
        <v>497</v>
      </c>
      <c r="D16" s="102" t="s">
        <v>488</v>
      </c>
      <c r="E16" s="103">
        <v>31.25</v>
      </c>
      <c r="F16" s="101"/>
      <c r="G16" s="108">
        <v>55</v>
      </c>
      <c r="H16" s="122"/>
      <c r="I16" s="126"/>
      <c r="J16" s="108"/>
      <c r="K16" s="108"/>
      <c r="L16" s="108"/>
      <c r="M16" s="108"/>
      <c r="N16" s="108">
        <v>7.3</v>
      </c>
      <c r="O16" s="127"/>
    </row>
    <row r="17" spans="1:15">
      <c r="A17" s="116" t="s">
        <v>499</v>
      </c>
      <c r="B17" s="102" t="s">
        <v>500</v>
      </c>
      <c r="C17" s="102" t="s">
        <v>499</v>
      </c>
      <c r="D17" s="102" t="s">
        <v>501</v>
      </c>
      <c r="E17" s="103">
        <v>180</v>
      </c>
      <c r="F17" s="101"/>
      <c r="G17" s="108"/>
      <c r="H17" s="122"/>
      <c r="I17" s="126"/>
      <c r="J17" s="108"/>
      <c r="K17" s="108"/>
      <c r="L17" s="108"/>
      <c r="M17" s="108"/>
      <c r="N17" s="108">
        <v>90</v>
      </c>
      <c r="O17" s="127"/>
    </row>
    <row r="18" spans="1:15">
      <c r="A18" s="117" t="s">
        <v>502</v>
      </c>
      <c r="B18" s="105" t="s">
        <v>503</v>
      </c>
      <c r="C18" s="105" t="s">
        <v>504</v>
      </c>
      <c r="D18" s="105" t="s">
        <v>481</v>
      </c>
      <c r="E18" s="103">
        <v>260</v>
      </c>
      <c r="F18" s="106" t="s">
        <v>505</v>
      </c>
      <c r="G18" s="108">
        <v>35</v>
      </c>
      <c r="H18" s="122"/>
      <c r="I18" s="126"/>
      <c r="J18" s="108"/>
      <c r="K18" s="108">
        <v>28.5</v>
      </c>
      <c r="L18" s="108"/>
      <c r="M18" s="108"/>
      <c r="N18" s="108"/>
      <c r="O18" s="127"/>
    </row>
    <row r="19" spans="1:15">
      <c r="A19" s="118" t="s">
        <v>506</v>
      </c>
      <c r="B19" s="101" t="s">
        <v>507</v>
      </c>
      <c r="C19" s="101" t="s">
        <v>508</v>
      </c>
      <c r="D19" s="101" t="s">
        <v>485</v>
      </c>
      <c r="E19" s="103">
        <v>5.583333333333333</v>
      </c>
      <c r="F19" s="101" t="s">
        <v>509</v>
      </c>
      <c r="G19" s="108">
        <v>40</v>
      </c>
      <c r="H19" s="122"/>
      <c r="I19" s="126"/>
      <c r="J19" s="108">
        <v>0.8</v>
      </c>
      <c r="K19" s="108"/>
      <c r="L19" s="108"/>
      <c r="M19" s="108"/>
      <c r="N19" s="108"/>
      <c r="O19" s="127"/>
    </row>
    <row r="20" spans="1:15">
      <c r="A20" s="116" t="s">
        <v>510</v>
      </c>
      <c r="B20" s="102" t="s">
        <v>511</v>
      </c>
      <c r="C20" s="102" t="s">
        <v>512</v>
      </c>
      <c r="D20" s="102" t="s">
        <v>485</v>
      </c>
      <c r="E20" s="103">
        <v>20</v>
      </c>
      <c r="F20" s="101"/>
      <c r="G20" s="108"/>
      <c r="H20" s="122"/>
      <c r="I20" s="126">
        <v>3</v>
      </c>
      <c r="J20" s="108"/>
      <c r="K20" s="108"/>
      <c r="L20" s="108"/>
      <c r="M20" s="108"/>
      <c r="N20" s="108">
        <v>0.8</v>
      </c>
      <c r="O20" s="127">
        <v>10</v>
      </c>
    </row>
    <row r="21" spans="1:15">
      <c r="A21" s="116" t="s">
        <v>513</v>
      </c>
      <c r="B21" s="102" t="s">
        <v>514</v>
      </c>
      <c r="C21" s="102" t="s">
        <v>515</v>
      </c>
      <c r="D21" s="102" t="s">
        <v>488</v>
      </c>
      <c r="E21" s="103">
        <v>8.5</v>
      </c>
      <c r="F21" s="101"/>
      <c r="G21" s="108">
        <v>120</v>
      </c>
      <c r="H21" s="122"/>
      <c r="I21" s="126"/>
      <c r="J21" s="108"/>
      <c r="K21" s="108"/>
      <c r="L21" s="108"/>
      <c r="M21" s="108">
        <v>1.6</v>
      </c>
      <c r="N21" s="108"/>
      <c r="O21" s="127"/>
    </row>
    <row r="22" spans="1:15">
      <c r="A22" s="118" t="s">
        <v>516</v>
      </c>
      <c r="B22" s="101" t="s">
        <v>517</v>
      </c>
      <c r="C22" s="101" t="s">
        <v>518</v>
      </c>
      <c r="D22" s="101" t="s">
        <v>485</v>
      </c>
      <c r="E22" s="103">
        <v>170</v>
      </c>
      <c r="F22" s="101"/>
      <c r="G22" s="108"/>
      <c r="H22" s="122"/>
      <c r="I22" s="126">
        <v>3</v>
      </c>
      <c r="J22" s="108"/>
      <c r="K22" s="108"/>
      <c r="L22" s="108"/>
      <c r="M22" s="108"/>
      <c r="N22" s="108"/>
      <c r="O22" s="127"/>
    </row>
    <row r="23" spans="1:15">
      <c r="A23" s="118" t="s">
        <v>518</v>
      </c>
      <c r="B23" s="101" t="s">
        <v>517</v>
      </c>
      <c r="C23" s="101" t="s">
        <v>518</v>
      </c>
      <c r="D23" s="101" t="s">
        <v>481</v>
      </c>
      <c r="E23" s="103">
        <v>170</v>
      </c>
      <c r="F23" s="101"/>
      <c r="G23" s="108"/>
      <c r="H23" s="122"/>
      <c r="I23" s="126">
        <v>3</v>
      </c>
      <c r="J23" s="108"/>
      <c r="K23" s="108"/>
      <c r="L23" s="108"/>
      <c r="M23" s="108"/>
      <c r="N23" s="108"/>
      <c r="O23" s="127"/>
    </row>
    <row r="24" spans="1:15">
      <c r="A24" s="116" t="s">
        <v>519</v>
      </c>
      <c r="B24" s="102" t="s">
        <v>520</v>
      </c>
      <c r="C24" s="102" t="s">
        <v>521</v>
      </c>
      <c r="D24" s="101" t="s">
        <v>485</v>
      </c>
      <c r="E24" s="103">
        <v>7.9829999999999997</v>
      </c>
      <c r="F24" s="101" t="s">
        <v>522</v>
      </c>
      <c r="G24" s="108"/>
      <c r="H24" s="122"/>
      <c r="I24" s="126">
        <v>3</v>
      </c>
      <c r="J24" s="108"/>
      <c r="K24" s="108"/>
      <c r="L24" s="108"/>
      <c r="M24" s="108"/>
      <c r="N24" s="108"/>
      <c r="O24" s="127"/>
    </row>
    <row r="25" spans="1:15">
      <c r="A25" s="116" t="s">
        <v>521</v>
      </c>
      <c r="B25" s="102" t="s">
        <v>520</v>
      </c>
      <c r="C25" s="102" t="s">
        <v>521</v>
      </c>
      <c r="D25" s="101" t="s">
        <v>481</v>
      </c>
      <c r="E25" s="103">
        <v>79.83</v>
      </c>
      <c r="F25" s="101"/>
      <c r="G25" s="108"/>
      <c r="H25" s="122"/>
      <c r="I25" s="126">
        <v>3</v>
      </c>
      <c r="J25" s="108"/>
      <c r="K25" s="108"/>
      <c r="L25" s="108"/>
      <c r="M25" s="108"/>
      <c r="N25" s="108"/>
      <c r="O25" s="127"/>
    </row>
    <row r="26" spans="1:15">
      <c r="A26" s="116" t="s">
        <v>523</v>
      </c>
      <c r="B26" s="102" t="s">
        <v>524</v>
      </c>
      <c r="C26" s="102" t="s">
        <v>525</v>
      </c>
      <c r="D26" s="101" t="s">
        <v>485</v>
      </c>
      <c r="E26" s="103">
        <v>7.9290000000000003</v>
      </c>
      <c r="F26" s="101"/>
      <c r="G26" s="108"/>
      <c r="H26" s="122"/>
      <c r="I26" s="126">
        <v>2.7</v>
      </c>
      <c r="J26" s="108"/>
      <c r="K26" s="108"/>
      <c r="L26" s="108"/>
      <c r="M26" s="108"/>
      <c r="N26" s="108"/>
      <c r="O26" s="127">
        <v>5</v>
      </c>
    </row>
    <row r="27" spans="1:15">
      <c r="A27" s="116" t="s">
        <v>525</v>
      </c>
      <c r="B27" s="102" t="s">
        <v>524</v>
      </c>
      <c r="C27" s="102" t="s">
        <v>525</v>
      </c>
      <c r="D27" s="101" t="s">
        <v>481</v>
      </c>
      <c r="E27" s="103">
        <v>158.58000000000001</v>
      </c>
      <c r="F27" s="101"/>
      <c r="G27" s="108"/>
      <c r="H27" s="122"/>
      <c r="I27" s="126">
        <v>2.7</v>
      </c>
      <c r="J27" s="108"/>
      <c r="K27" s="108"/>
      <c r="L27" s="108"/>
      <c r="M27" s="108"/>
      <c r="N27" s="108"/>
      <c r="O27" s="127">
        <v>5</v>
      </c>
    </row>
    <row r="28" spans="1:15">
      <c r="A28" s="118" t="s">
        <v>298</v>
      </c>
      <c r="B28" s="101" t="s">
        <v>526</v>
      </c>
      <c r="C28" s="101" t="s">
        <v>527</v>
      </c>
      <c r="D28" s="101" t="s">
        <v>485</v>
      </c>
      <c r="E28" s="103">
        <v>7.5583333333333336</v>
      </c>
      <c r="F28" s="101"/>
      <c r="G28" s="108"/>
      <c r="H28" s="122"/>
      <c r="I28" s="126">
        <v>2.2999999999999998</v>
      </c>
      <c r="J28" s="108"/>
      <c r="K28" s="108"/>
      <c r="L28" s="108"/>
      <c r="M28" s="108"/>
      <c r="N28" s="108">
        <v>1</v>
      </c>
      <c r="O28" s="127"/>
    </row>
    <row r="29" spans="1:15">
      <c r="A29" s="118" t="s">
        <v>527</v>
      </c>
      <c r="B29" s="101" t="s">
        <v>526</v>
      </c>
      <c r="C29" s="101" t="s">
        <v>527</v>
      </c>
      <c r="D29" s="101" t="s">
        <v>481</v>
      </c>
      <c r="E29" s="103">
        <v>226.75</v>
      </c>
      <c r="F29" s="101"/>
      <c r="G29" s="108"/>
      <c r="H29" s="122"/>
      <c r="I29" s="126">
        <v>2.2999999999999998</v>
      </c>
      <c r="J29" s="108"/>
      <c r="K29" s="108"/>
      <c r="L29" s="108"/>
      <c r="M29" s="108"/>
      <c r="N29" s="108">
        <v>1</v>
      </c>
      <c r="O29" s="127"/>
    </row>
    <row r="30" spans="1:15">
      <c r="A30" s="116" t="s">
        <v>528</v>
      </c>
      <c r="B30" s="102" t="s">
        <v>529</v>
      </c>
      <c r="C30" s="102" t="s">
        <v>530</v>
      </c>
      <c r="D30" s="101" t="s">
        <v>485</v>
      </c>
      <c r="E30" s="103">
        <v>226.75</v>
      </c>
      <c r="F30" s="101"/>
      <c r="G30" s="108"/>
      <c r="H30" s="122"/>
      <c r="I30" s="126">
        <v>2</v>
      </c>
      <c r="J30" s="108"/>
      <c r="K30" s="108"/>
      <c r="L30" s="108"/>
      <c r="M30" s="108"/>
      <c r="N30" s="108"/>
      <c r="O30" s="127">
        <v>8</v>
      </c>
    </row>
    <row r="31" spans="1:15">
      <c r="A31" s="116" t="s">
        <v>530</v>
      </c>
      <c r="B31" s="102" t="s">
        <v>529</v>
      </c>
      <c r="C31" s="102" t="s">
        <v>530</v>
      </c>
      <c r="D31" s="101" t="s">
        <v>481</v>
      </c>
      <c r="E31" s="103">
        <v>226.75</v>
      </c>
      <c r="F31" s="101"/>
      <c r="G31" s="108"/>
      <c r="H31" s="122"/>
      <c r="I31" s="126">
        <v>2</v>
      </c>
      <c r="J31" s="108"/>
      <c r="K31" s="108"/>
      <c r="L31" s="108"/>
      <c r="M31" s="108"/>
      <c r="N31" s="108"/>
      <c r="O31" s="127">
        <v>8</v>
      </c>
    </row>
    <row r="32" spans="1:15">
      <c r="A32" s="116" t="s">
        <v>531</v>
      </c>
      <c r="B32" s="102" t="s">
        <v>532</v>
      </c>
      <c r="C32" s="102" t="s">
        <v>531</v>
      </c>
      <c r="D32" s="101" t="s">
        <v>481</v>
      </c>
      <c r="E32" s="103">
        <v>226.8</v>
      </c>
      <c r="F32" s="101"/>
      <c r="G32" s="108"/>
      <c r="H32" s="122"/>
      <c r="I32" s="126">
        <v>2</v>
      </c>
      <c r="J32" s="108"/>
      <c r="K32" s="108"/>
      <c r="L32" s="108"/>
      <c r="M32" s="108"/>
      <c r="N32" s="108"/>
      <c r="O32" s="127">
        <v>8</v>
      </c>
    </row>
    <row r="33" spans="1:15">
      <c r="A33" s="116" t="s">
        <v>533</v>
      </c>
      <c r="B33" s="102" t="s">
        <v>532</v>
      </c>
      <c r="C33" s="102" t="s">
        <v>531</v>
      </c>
      <c r="D33" s="101" t="s">
        <v>485</v>
      </c>
      <c r="E33" s="103">
        <v>7.5600000000000005</v>
      </c>
      <c r="F33" s="101"/>
      <c r="G33" s="108"/>
      <c r="H33" s="122"/>
      <c r="I33" s="126">
        <v>2</v>
      </c>
      <c r="J33" s="108"/>
      <c r="K33" s="108"/>
      <c r="L33" s="108"/>
      <c r="M33" s="108"/>
      <c r="N33" s="108"/>
      <c r="O33" s="127">
        <v>8</v>
      </c>
    </row>
    <row r="34" spans="1:15">
      <c r="A34" s="118" t="s">
        <v>255</v>
      </c>
      <c r="B34" s="101" t="s">
        <v>534</v>
      </c>
      <c r="C34" s="101" t="s">
        <v>535</v>
      </c>
      <c r="D34" s="101" t="s">
        <v>485</v>
      </c>
      <c r="E34" s="103">
        <v>158.66999999999999</v>
      </c>
      <c r="F34" s="101"/>
      <c r="G34" s="108"/>
      <c r="H34" s="122"/>
      <c r="I34" s="126">
        <v>3</v>
      </c>
      <c r="J34" s="108"/>
      <c r="K34" s="108"/>
      <c r="L34" s="108"/>
      <c r="M34" s="108"/>
      <c r="N34" s="108"/>
      <c r="O34" s="127"/>
    </row>
    <row r="35" spans="1:15">
      <c r="A35" s="118" t="s">
        <v>535</v>
      </c>
      <c r="B35" s="101" t="s">
        <v>534</v>
      </c>
      <c r="C35" s="101" t="s">
        <v>535</v>
      </c>
      <c r="D35" s="101" t="s">
        <v>481</v>
      </c>
      <c r="E35" s="103">
        <v>158.66999999999999</v>
      </c>
      <c r="F35" s="101"/>
      <c r="G35" s="108"/>
      <c r="H35" s="122"/>
      <c r="I35" s="126">
        <v>3</v>
      </c>
      <c r="J35" s="108"/>
      <c r="K35" s="108"/>
      <c r="L35" s="108"/>
      <c r="M35" s="108"/>
      <c r="N35" s="108"/>
      <c r="O35" s="127"/>
    </row>
    <row r="36" spans="1:15">
      <c r="A36" s="116" t="s">
        <v>536</v>
      </c>
      <c r="B36" s="102" t="s">
        <v>537</v>
      </c>
      <c r="C36" s="102" t="s">
        <v>538</v>
      </c>
      <c r="D36" s="102" t="s">
        <v>485</v>
      </c>
      <c r="E36" s="103">
        <v>305</v>
      </c>
      <c r="F36" s="101" t="s">
        <v>496</v>
      </c>
      <c r="G36" s="108">
        <v>50</v>
      </c>
      <c r="H36" s="122"/>
      <c r="I36" s="126"/>
      <c r="J36" s="108">
        <v>0.5</v>
      </c>
      <c r="K36" s="108"/>
      <c r="L36" s="108"/>
      <c r="M36" s="108"/>
      <c r="N36" s="108"/>
      <c r="O36" s="127"/>
    </row>
    <row r="37" spans="1:15">
      <c r="A37" s="116" t="s">
        <v>538</v>
      </c>
      <c r="B37" s="102" t="s">
        <v>537</v>
      </c>
      <c r="C37" s="102" t="s">
        <v>538</v>
      </c>
      <c r="D37" s="102" t="s">
        <v>481</v>
      </c>
      <c r="E37" s="103">
        <v>305</v>
      </c>
      <c r="F37" s="101" t="s">
        <v>496</v>
      </c>
      <c r="G37" s="108">
        <v>50</v>
      </c>
      <c r="H37" s="122"/>
      <c r="I37" s="126"/>
      <c r="J37" s="108">
        <v>0.5</v>
      </c>
      <c r="K37" s="108"/>
      <c r="L37" s="108"/>
      <c r="M37" s="108"/>
      <c r="N37" s="108"/>
      <c r="O37" s="127"/>
    </row>
    <row r="38" spans="1:15">
      <c r="A38" s="116" t="s">
        <v>266</v>
      </c>
      <c r="B38" s="102" t="s">
        <v>539</v>
      </c>
      <c r="C38" s="102" t="s">
        <v>540</v>
      </c>
      <c r="D38" s="102" t="s">
        <v>488</v>
      </c>
      <c r="E38" s="103">
        <v>20</v>
      </c>
      <c r="F38" s="101"/>
      <c r="G38" s="108"/>
      <c r="H38" s="122"/>
      <c r="I38" s="126">
        <v>4</v>
      </c>
      <c r="J38" s="108"/>
      <c r="K38" s="108"/>
      <c r="L38" s="108"/>
      <c r="M38" s="108"/>
      <c r="N38" s="108"/>
      <c r="O38" s="127"/>
    </row>
    <row r="39" spans="1:15">
      <c r="A39" s="117" t="s">
        <v>261</v>
      </c>
      <c r="B39" s="105" t="s">
        <v>541</v>
      </c>
      <c r="C39" s="105" t="s">
        <v>542</v>
      </c>
      <c r="D39" s="105" t="s">
        <v>488</v>
      </c>
      <c r="E39" s="103">
        <v>21.25</v>
      </c>
      <c r="F39" s="106"/>
      <c r="G39" s="108"/>
      <c r="H39" s="122"/>
      <c r="I39" s="126">
        <v>4</v>
      </c>
      <c r="J39" s="108"/>
      <c r="K39" s="108"/>
      <c r="L39" s="108"/>
      <c r="M39" s="108"/>
      <c r="N39" s="108"/>
      <c r="O39" s="127"/>
    </row>
    <row r="40" spans="1:15">
      <c r="A40" s="117" t="s">
        <v>542</v>
      </c>
      <c r="B40" s="105" t="s">
        <v>541</v>
      </c>
      <c r="C40" s="105" t="s">
        <v>542</v>
      </c>
      <c r="D40" s="105" t="s">
        <v>488</v>
      </c>
      <c r="E40" s="103">
        <v>21.25</v>
      </c>
      <c r="F40" s="106"/>
      <c r="G40" s="108"/>
      <c r="H40" s="122"/>
      <c r="I40" s="126">
        <v>4</v>
      </c>
      <c r="J40" s="108"/>
      <c r="K40" s="108"/>
      <c r="L40" s="108"/>
      <c r="M40" s="108"/>
      <c r="N40" s="108"/>
      <c r="O40" s="127"/>
    </row>
    <row r="41" spans="1:15">
      <c r="A41" s="118" t="s">
        <v>543</v>
      </c>
      <c r="B41" s="105" t="s">
        <v>544</v>
      </c>
      <c r="C41" s="105" t="s">
        <v>545</v>
      </c>
      <c r="D41" s="105" t="s">
        <v>481</v>
      </c>
      <c r="E41" s="103">
        <v>110</v>
      </c>
      <c r="F41" s="106"/>
      <c r="G41" s="108"/>
      <c r="H41" s="122"/>
      <c r="I41" s="126">
        <v>15</v>
      </c>
      <c r="J41" s="108"/>
      <c r="K41" s="108"/>
      <c r="L41" s="108"/>
      <c r="M41" s="108"/>
      <c r="N41" s="108"/>
      <c r="O41" s="127"/>
    </row>
    <row r="42" spans="1:15">
      <c r="A42" s="116" t="s">
        <v>546</v>
      </c>
      <c r="B42" s="102" t="s">
        <v>547</v>
      </c>
      <c r="C42" s="102" t="s">
        <v>548</v>
      </c>
      <c r="D42" s="102" t="s">
        <v>485</v>
      </c>
      <c r="E42" s="103">
        <v>6.93</v>
      </c>
      <c r="F42" s="101" t="s">
        <v>549</v>
      </c>
      <c r="G42" s="108">
        <v>55</v>
      </c>
      <c r="H42" s="122"/>
      <c r="I42" s="126"/>
      <c r="J42" s="108">
        <v>1.4</v>
      </c>
      <c r="K42" s="108"/>
      <c r="L42" s="108"/>
      <c r="M42" s="108"/>
      <c r="N42" s="108"/>
      <c r="O42" s="127"/>
    </row>
    <row r="43" spans="1:15">
      <c r="A43" s="116" t="s">
        <v>92</v>
      </c>
      <c r="B43" s="102" t="s">
        <v>551</v>
      </c>
      <c r="C43" s="102" t="s">
        <v>550</v>
      </c>
      <c r="D43" s="102" t="s">
        <v>501</v>
      </c>
      <c r="E43" s="103">
        <v>34.5</v>
      </c>
      <c r="F43" s="101"/>
      <c r="G43" s="108"/>
      <c r="H43" s="122"/>
      <c r="I43" s="126"/>
      <c r="J43" s="108"/>
      <c r="K43" s="108"/>
      <c r="L43" s="108"/>
      <c r="M43" s="108"/>
      <c r="N43" s="108"/>
      <c r="O43" s="127">
        <v>500</v>
      </c>
    </row>
    <row r="44" spans="1:15">
      <c r="A44" s="116" t="s">
        <v>246</v>
      </c>
      <c r="B44" s="102" t="s">
        <v>551</v>
      </c>
      <c r="C44" s="102" t="s">
        <v>550</v>
      </c>
      <c r="D44" s="102" t="s">
        <v>501</v>
      </c>
      <c r="E44" s="103">
        <v>34.5</v>
      </c>
      <c r="F44" s="101"/>
      <c r="G44" s="108"/>
      <c r="H44" s="122"/>
      <c r="I44" s="126"/>
      <c r="J44" s="108"/>
      <c r="K44" s="108"/>
      <c r="L44" s="108"/>
      <c r="M44" s="108"/>
      <c r="N44" s="108"/>
      <c r="O44" s="127">
        <v>500</v>
      </c>
    </row>
    <row r="45" spans="1:15">
      <c r="A45" s="116" t="s">
        <v>550</v>
      </c>
      <c r="B45" s="102" t="s">
        <v>551</v>
      </c>
      <c r="C45" s="102" t="s">
        <v>550</v>
      </c>
      <c r="D45" s="102" t="s">
        <v>501</v>
      </c>
      <c r="E45" s="103">
        <v>34.5</v>
      </c>
      <c r="F45" s="101"/>
      <c r="G45" s="108"/>
      <c r="H45" s="122"/>
      <c r="I45" s="126"/>
      <c r="J45" s="108"/>
      <c r="K45" s="108"/>
      <c r="L45" s="108"/>
      <c r="M45" s="108"/>
      <c r="N45" s="108"/>
      <c r="O45" s="127">
        <v>500</v>
      </c>
    </row>
    <row r="46" spans="1:15">
      <c r="A46" s="118" t="s">
        <v>221</v>
      </c>
      <c r="B46" s="101"/>
      <c r="C46" s="107" t="s">
        <v>221</v>
      </c>
      <c r="D46" s="101" t="s">
        <v>552</v>
      </c>
      <c r="E46" s="103">
        <v>10</v>
      </c>
      <c r="F46" s="101"/>
      <c r="G46" s="108">
        <v>60</v>
      </c>
      <c r="H46" s="122"/>
      <c r="I46" s="126"/>
      <c r="J46" s="108"/>
      <c r="K46" s="108"/>
      <c r="L46" s="108"/>
      <c r="M46" s="108">
        <v>1</v>
      </c>
      <c r="N46" s="108"/>
      <c r="O46" s="127"/>
    </row>
    <row r="47" spans="1:15">
      <c r="A47" s="116" t="s">
        <v>245</v>
      </c>
      <c r="B47" s="102" t="s">
        <v>554</v>
      </c>
      <c r="C47" s="102" t="s">
        <v>553</v>
      </c>
      <c r="D47" s="102" t="s">
        <v>481</v>
      </c>
      <c r="E47" s="103">
        <v>42</v>
      </c>
      <c r="F47" s="101"/>
      <c r="G47" s="108"/>
      <c r="H47" s="122"/>
      <c r="I47" s="126">
        <v>16</v>
      </c>
      <c r="J47" s="108"/>
      <c r="K47" s="108"/>
      <c r="L47" s="108"/>
      <c r="M47" s="108"/>
      <c r="N47" s="108"/>
      <c r="O47" s="127"/>
    </row>
    <row r="48" spans="1:15">
      <c r="A48" s="116" t="s">
        <v>553</v>
      </c>
      <c r="B48" s="102" t="s">
        <v>554</v>
      </c>
      <c r="C48" s="102" t="s">
        <v>553</v>
      </c>
      <c r="D48" s="102" t="s">
        <v>481</v>
      </c>
      <c r="E48" s="103">
        <v>42</v>
      </c>
      <c r="F48" s="101"/>
      <c r="G48" s="108"/>
      <c r="H48" s="122"/>
      <c r="I48" s="126">
        <v>16</v>
      </c>
      <c r="J48" s="108"/>
      <c r="K48" s="108"/>
      <c r="L48" s="108"/>
      <c r="M48" s="108"/>
      <c r="N48" s="108"/>
      <c r="O48" s="127"/>
    </row>
    <row r="49" spans="1:15">
      <c r="A49" s="116" t="s">
        <v>459</v>
      </c>
      <c r="B49" s="101" t="s">
        <v>555</v>
      </c>
      <c r="C49" s="102" t="s">
        <v>556</v>
      </c>
      <c r="D49" s="102" t="s">
        <v>485</v>
      </c>
      <c r="E49" s="103">
        <v>13.65</v>
      </c>
      <c r="F49" s="101"/>
      <c r="G49" s="108"/>
      <c r="H49" s="122"/>
      <c r="I49" s="126"/>
      <c r="J49" s="108">
        <v>1.2</v>
      </c>
      <c r="K49" s="108"/>
      <c r="L49" s="108"/>
      <c r="M49" s="108"/>
      <c r="N49" s="108"/>
      <c r="O49" s="127"/>
    </row>
    <row r="50" spans="1:15">
      <c r="A50" s="116" t="s">
        <v>557</v>
      </c>
      <c r="B50" s="101" t="s">
        <v>555</v>
      </c>
      <c r="C50" s="102" t="s">
        <v>556</v>
      </c>
      <c r="D50" s="102" t="s">
        <v>485</v>
      </c>
      <c r="E50" s="103">
        <v>13.65</v>
      </c>
      <c r="F50" s="101"/>
      <c r="G50" s="108"/>
      <c r="H50" s="122"/>
      <c r="I50" s="126"/>
      <c r="J50" s="108">
        <v>1.2</v>
      </c>
      <c r="K50" s="108"/>
      <c r="L50" s="108"/>
      <c r="M50" s="108"/>
      <c r="N50" s="108"/>
      <c r="O50" s="127"/>
    </row>
    <row r="51" spans="1:15">
      <c r="A51" s="116" t="s">
        <v>558</v>
      </c>
      <c r="B51" s="102" t="s">
        <v>559</v>
      </c>
      <c r="C51" s="102" t="s">
        <v>560</v>
      </c>
      <c r="D51" s="102" t="s">
        <v>485</v>
      </c>
      <c r="E51" s="103">
        <v>11.55</v>
      </c>
      <c r="F51" s="101"/>
      <c r="G51" s="108"/>
      <c r="H51" s="122"/>
      <c r="I51" s="126"/>
      <c r="J51" s="108">
        <v>1.2</v>
      </c>
      <c r="K51" s="108"/>
      <c r="L51" s="108"/>
      <c r="M51" s="108"/>
      <c r="N51" s="108"/>
      <c r="O51" s="127"/>
    </row>
    <row r="52" spans="1:15">
      <c r="A52" s="116" t="s">
        <v>265</v>
      </c>
      <c r="B52" s="102" t="s">
        <v>559</v>
      </c>
      <c r="C52" s="102" t="s">
        <v>560</v>
      </c>
      <c r="D52" s="102" t="s">
        <v>485</v>
      </c>
      <c r="E52" s="103">
        <v>11.55</v>
      </c>
      <c r="F52" s="101"/>
      <c r="G52" s="108"/>
      <c r="H52" s="122"/>
      <c r="I52" s="126"/>
      <c r="J52" s="108">
        <v>1.2</v>
      </c>
      <c r="K52" s="108"/>
      <c r="L52" s="108"/>
      <c r="M52" s="108"/>
      <c r="N52" s="108"/>
      <c r="O52" s="127"/>
    </row>
    <row r="53" spans="1:15">
      <c r="A53" s="116" t="s">
        <v>561</v>
      </c>
      <c r="B53" s="102"/>
      <c r="C53" s="102"/>
      <c r="D53" s="102" t="s">
        <v>562</v>
      </c>
      <c r="E53" s="103" t="s">
        <v>563</v>
      </c>
      <c r="F53" s="101"/>
      <c r="G53" s="108"/>
      <c r="H53" s="122"/>
      <c r="I53" s="126"/>
      <c r="J53" s="108"/>
      <c r="K53" s="108"/>
      <c r="L53" s="108">
        <v>3</v>
      </c>
      <c r="M53" s="108"/>
      <c r="N53" s="108"/>
      <c r="O53" s="127"/>
    </row>
    <row r="54" spans="1:15">
      <c r="A54" s="116" t="s">
        <v>564</v>
      </c>
      <c r="B54" s="102"/>
      <c r="C54" s="102"/>
      <c r="D54" s="102" t="s">
        <v>488</v>
      </c>
      <c r="E54" s="103"/>
      <c r="F54" s="101"/>
      <c r="G54" s="108"/>
      <c r="H54" s="122"/>
      <c r="I54" s="126"/>
      <c r="J54" s="108"/>
      <c r="K54" s="108"/>
      <c r="L54" s="108"/>
      <c r="M54" s="108">
        <v>3.4</v>
      </c>
      <c r="N54" s="108"/>
      <c r="O54" s="127">
        <v>172</v>
      </c>
    </row>
    <row r="55" spans="1:15">
      <c r="A55" s="116" t="s">
        <v>565</v>
      </c>
      <c r="B55" s="102"/>
      <c r="C55" s="102"/>
      <c r="D55" s="102" t="s">
        <v>485</v>
      </c>
      <c r="E55" s="103"/>
      <c r="F55" s="101"/>
      <c r="G55" s="108"/>
      <c r="H55" s="122"/>
      <c r="I55" s="126">
        <v>1.8</v>
      </c>
      <c r="J55" s="108">
        <v>0.5</v>
      </c>
      <c r="K55" s="108"/>
      <c r="L55" s="108"/>
      <c r="M55" s="108"/>
      <c r="N55" s="108">
        <v>0.8</v>
      </c>
      <c r="O55" s="127"/>
    </row>
    <row r="56" spans="1:15">
      <c r="A56" s="116" t="s">
        <v>119</v>
      </c>
      <c r="B56" s="102" t="s">
        <v>566</v>
      </c>
      <c r="C56" s="102"/>
      <c r="D56" s="102" t="s">
        <v>567</v>
      </c>
      <c r="E56" s="103" t="s">
        <v>563</v>
      </c>
      <c r="F56" s="101"/>
      <c r="G56" s="108"/>
      <c r="H56" s="122"/>
      <c r="I56" s="126"/>
      <c r="J56" s="108"/>
      <c r="K56" s="108">
        <v>4.2</v>
      </c>
      <c r="L56" s="108"/>
      <c r="M56" s="108"/>
      <c r="N56" s="108"/>
      <c r="O56" s="127"/>
    </row>
    <row r="57" spans="1:15">
      <c r="A57" s="116" t="s">
        <v>267</v>
      </c>
      <c r="B57" s="102"/>
      <c r="C57" s="102"/>
      <c r="D57" s="102" t="s">
        <v>488</v>
      </c>
      <c r="E57" s="103" t="s">
        <v>563</v>
      </c>
      <c r="F57" s="101"/>
      <c r="G57" s="108"/>
      <c r="H57" s="122"/>
      <c r="I57" s="126"/>
      <c r="J57" s="108">
        <v>6</v>
      </c>
      <c r="K57" s="108"/>
      <c r="L57" s="108"/>
      <c r="M57" s="108"/>
      <c r="N57" s="108"/>
      <c r="O57" s="127"/>
    </row>
    <row r="58" spans="1:15">
      <c r="A58" s="116" t="s">
        <v>269</v>
      </c>
      <c r="B58" s="102"/>
      <c r="C58" s="102"/>
      <c r="D58" s="102" t="s">
        <v>485</v>
      </c>
      <c r="E58" s="103"/>
      <c r="F58" s="101"/>
      <c r="G58" s="108"/>
      <c r="H58" s="122"/>
      <c r="I58" s="126">
        <v>0.37</v>
      </c>
      <c r="J58" s="108">
        <v>0.17</v>
      </c>
      <c r="K58" s="108"/>
      <c r="L58" s="108"/>
      <c r="M58" s="108"/>
      <c r="N58" s="108">
        <v>0.7</v>
      </c>
      <c r="O58" s="127"/>
    </row>
    <row r="59" spans="1:15">
      <c r="A59" s="116" t="s">
        <v>286</v>
      </c>
      <c r="B59" s="102"/>
      <c r="C59" s="102"/>
      <c r="D59" s="102" t="s">
        <v>485</v>
      </c>
      <c r="E59" s="103"/>
      <c r="F59" s="101"/>
      <c r="G59" s="108"/>
      <c r="H59" s="122"/>
      <c r="I59" s="126">
        <v>0.2</v>
      </c>
      <c r="J59" s="108">
        <v>0.17</v>
      </c>
      <c r="K59" s="108"/>
      <c r="L59" s="108"/>
      <c r="M59" s="108"/>
      <c r="N59" s="108">
        <v>0.1</v>
      </c>
      <c r="O59" s="127"/>
    </row>
    <row r="60" spans="1:15">
      <c r="A60" s="116" t="s">
        <v>270</v>
      </c>
      <c r="B60" s="102"/>
      <c r="C60" s="102"/>
      <c r="D60" s="102" t="s">
        <v>485</v>
      </c>
      <c r="E60" s="103"/>
      <c r="F60" s="101"/>
      <c r="G60" s="108"/>
      <c r="H60" s="122"/>
      <c r="I60" s="126">
        <v>0.9</v>
      </c>
      <c r="J60" s="108">
        <v>0.5</v>
      </c>
      <c r="K60" s="108"/>
      <c r="L60" s="108"/>
      <c r="M60" s="108"/>
      <c r="N60" s="108">
        <v>0.6</v>
      </c>
      <c r="O60" s="127"/>
    </row>
    <row r="61" spans="1:15">
      <c r="A61" s="116" t="s">
        <v>410</v>
      </c>
      <c r="B61" s="102"/>
      <c r="C61" s="102"/>
      <c r="D61" s="102" t="s">
        <v>477</v>
      </c>
      <c r="E61" s="103"/>
      <c r="F61" s="101"/>
      <c r="G61" s="108"/>
      <c r="H61" s="122"/>
      <c r="I61" s="126">
        <v>3.4</v>
      </c>
      <c r="J61" s="108"/>
      <c r="K61" s="108"/>
      <c r="L61" s="108"/>
      <c r="M61" s="108"/>
      <c r="N61" s="108">
        <v>0.6</v>
      </c>
      <c r="O61" s="127"/>
    </row>
    <row r="62" spans="1:15">
      <c r="A62" s="116" t="s">
        <v>297</v>
      </c>
      <c r="B62" s="102"/>
      <c r="C62" s="102"/>
      <c r="D62" s="102" t="s">
        <v>485</v>
      </c>
      <c r="E62" s="103"/>
      <c r="F62" s="101"/>
      <c r="G62" s="108"/>
      <c r="H62" s="122"/>
      <c r="I62" s="126">
        <v>2.2000000000000002</v>
      </c>
      <c r="J62" s="108"/>
      <c r="K62" s="108"/>
      <c r="L62" s="108"/>
      <c r="M62" s="108"/>
      <c r="N62" s="108"/>
      <c r="O62" s="127">
        <v>18</v>
      </c>
    </row>
    <row r="63" spans="1:15">
      <c r="A63" s="116" t="s">
        <v>568</v>
      </c>
      <c r="B63" s="102"/>
      <c r="C63" s="102"/>
      <c r="D63" s="102" t="s">
        <v>477</v>
      </c>
      <c r="E63" s="103"/>
      <c r="F63" s="101"/>
      <c r="G63" s="108"/>
      <c r="H63" s="122"/>
      <c r="I63" s="126">
        <v>1.8</v>
      </c>
      <c r="J63" s="108">
        <v>0.1</v>
      </c>
      <c r="K63" s="108"/>
      <c r="L63" s="108"/>
      <c r="M63" s="108"/>
      <c r="N63" s="108"/>
      <c r="O63" s="127">
        <v>16</v>
      </c>
    </row>
    <row r="64" spans="1:15">
      <c r="A64" s="116" t="s">
        <v>144</v>
      </c>
      <c r="B64" s="102"/>
      <c r="C64" s="102"/>
      <c r="D64" s="102" t="s">
        <v>485</v>
      </c>
      <c r="E64" s="103"/>
      <c r="F64" s="101"/>
      <c r="G64" s="108"/>
      <c r="H64" s="122"/>
      <c r="I64" s="126">
        <v>0.8</v>
      </c>
      <c r="J64" s="108"/>
      <c r="K64" s="108"/>
      <c r="L64" s="108"/>
      <c r="M64" s="108"/>
      <c r="N64" s="108"/>
      <c r="O64" s="127"/>
    </row>
    <row r="65" spans="1:15">
      <c r="A65" s="116" t="s">
        <v>569</v>
      </c>
      <c r="B65" s="102"/>
      <c r="C65" s="102"/>
      <c r="D65" s="102" t="s">
        <v>485</v>
      </c>
      <c r="E65" s="103"/>
      <c r="F65" s="101"/>
      <c r="G65" s="108"/>
      <c r="H65" s="122"/>
      <c r="I65" s="126">
        <v>1.8</v>
      </c>
      <c r="J65" s="108"/>
      <c r="K65" s="108"/>
      <c r="L65" s="108">
        <v>0.5</v>
      </c>
      <c r="M65" s="108"/>
      <c r="N65" s="108">
        <v>0.5</v>
      </c>
      <c r="O65" s="127"/>
    </row>
    <row r="66" spans="1:15">
      <c r="A66" s="116" t="s">
        <v>570</v>
      </c>
      <c r="B66" s="102"/>
      <c r="C66" s="102"/>
      <c r="D66" s="102" t="s">
        <v>485</v>
      </c>
      <c r="E66" s="103"/>
      <c r="F66" s="101"/>
      <c r="G66" s="108"/>
      <c r="H66" s="122"/>
      <c r="I66" s="126">
        <v>0.3</v>
      </c>
      <c r="J66" s="108">
        <v>0.3</v>
      </c>
      <c r="K66" s="108"/>
      <c r="L66" s="108"/>
      <c r="M66" s="108"/>
      <c r="N66" s="108">
        <v>0.5</v>
      </c>
      <c r="O66" s="127"/>
    </row>
    <row r="67" spans="1:15">
      <c r="A67" s="116" t="s">
        <v>1057</v>
      </c>
      <c r="B67" s="102"/>
      <c r="C67" s="102"/>
      <c r="D67" s="102" t="s">
        <v>485</v>
      </c>
      <c r="E67" s="103"/>
      <c r="F67" s="101"/>
      <c r="G67" s="108"/>
      <c r="H67" s="122"/>
      <c r="I67" s="126">
        <v>0.3</v>
      </c>
      <c r="J67" s="108">
        <v>0.3</v>
      </c>
      <c r="K67" s="108"/>
      <c r="L67" s="108"/>
      <c r="M67" s="108"/>
      <c r="N67" s="108">
        <v>0.5</v>
      </c>
      <c r="O67" s="127"/>
    </row>
    <row r="68" spans="1:15">
      <c r="A68" s="116" t="s">
        <v>254</v>
      </c>
      <c r="B68" s="102"/>
      <c r="C68" s="102"/>
      <c r="D68" s="102" t="s">
        <v>477</v>
      </c>
      <c r="E68" s="103"/>
      <c r="F68" s="101"/>
      <c r="G68" s="109"/>
      <c r="H68" s="123"/>
      <c r="I68" s="129">
        <v>1.57</v>
      </c>
      <c r="J68" s="109"/>
      <c r="K68" s="109"/>
      <c r="L68" s="109"/>
      <c r="M68" s="109"/>
      <c r="N68" s="109"/>
      <c r="O68" s="130"/>
    </row>
    <row r="69" spans="1:15">
      <c r="A69" s="117" t="s">
        <v>256</v>
      </c>
      <c r="B69" s="105"/>
      <c r="C69" s="105"/>
      <c r="D69" s="105" t="s">
        <v>477</v>
      </c>
      <c r="E69" s="103"/>
      <c r="F69" s="106"/>
      <c r="G69" s="108"/>
      <c r="H69" s="122"/>
      <c r="I69" s="126"/>
      <c r="J69" s="108"/>
      <c r="K69" s="108">
        <v>0.5</v>
      </c>
      <c r="L69" s="108"/>
      <c r="M69" s="108"/>
      <c r="N69" s="108"/>
      <c r="O69" s="127"/>
    </row>
    <row r="70" spans="1:15">
      <c r="A70" s="117" t="s">
        <v>571</v>
      </c>
      <c r="B70" s="105"/>
      <c r="C70" s="105"/>
      <c r="D70" s="105" t="s">
        <v>488</v>
      </c>
      <c r="E70" s="103" t="s">
        <v>563</v>
      </c>
      <c r="F70" s="106" t="s">
        <v>572</v>
      </c>
      <c r="G70" s="108"/>
      <c r="H70" s="122"/>
      <c r="I70" s="126"/>
      <c r="J70" s="108"/>
      <c r="K70" s="108"/>
      <c r="L70" s="108"/>
      <c r="M70" s="108">
        <v>6.8</v>
      </c>
      <c r="N70" s="108"/>
      <c r="O70" s="127">
        <v>344</v>
      </c>
    </row>
    <row r="71" spans="1:15">
      <c r="A71" s="116" t="s">
        <v>573</v>
      </c>
      <c r="B71" s="102"/>
      <c r="C71" s="102"/>
      <c r="D71" s="102" t="s">
        <v>485</v>
      </c>
      <c r="E71" s="103"/>
      <c r="F71" s="101"/>
      <c r="G71" s="108"/>
      <c r="H71" s="122"/>
      <c r="I71" s="126">
        <v>0.4</v>
      </c>
      <c r="J71" s="108">
        <v>0.3</v>
      </c>
      <c r="K71" s="108"/>
      <c r="L71" s="108"/>
      <c r="M71" s="108"/>
      <c r="N71" s="108"/>
      <c r="O71" s="127"/>
    </row>
    <row r="72" spans="1:15">
      <c r="A72" s="116" t="s">
        <v>145</v>
      </c>
      <c r="B72" s="102"/>
      <c r="C72" s="102"/>
      <c r="D72" s="102" t="s">
        <v>567</v>
      </c>
      <c r="E72" s="103" t="s">
        <v>563</v>
      </c>
      <c r="F72" s="101"/>
      <c r="G72" s="108"/>
      <c r="H72" s="122"/>
      <c r="I72" s="126"/>
      <c r="J72" s="108">
        <v>5.2</v>
      </c>
      <c r="K72" s="108"/>
      <c r="L72" s="108"/>
      <c r="M72" s="108"/>
      <c r="N72" s="108"/>
      <c r="O72" s="127"/>
    </row>
    <row r="73" spans="1:15">
      <c r="A73" s="116" t="s">
        <v>425</v>
      </c>
      <c r="B73" s="102"/>
      <c r="C73" s="102"/>
      <c r="D73" s="102" t="s">
        <v>485</v>
      </c>
      <c r="E73" s="103"/>
      <c r="F73" s="101"/>
      <c r="G73" s="108"/>
      <c r="H73" s="122"/>
      <c r="I73" s="126">
        <v>1.5</v>
      </c>
      <c r="J73" s="108"/>
      <c r="K73" s="108"/>
      <c r="L73" s="108"/>
      <c r="M73" s="108"/>
      <c r="N73" s="108">
        <v>1.3</v>
      </c>
      <c r="O73" s="127">
        <v>10</v>
      </c>
    </row>
    <row r="74" spans="1:15">
      <c r="A74" s="116" t="s">
        <v>574</v>
      </c>
      <c r="B74" s="102"/>
      <c r="C74" s="102"/>
      <c r="D74" s="102" t="s">
        <v>477</v>
      </c>
      <c r="E74" s="103"/>
      <c r="F74" s="101"/>
      <c r="G74" s="108"/>
      <c r="H74" s="122"/>
      <c r="I74" s="126">
        <v>2</v>
      </c>
      <c r="J74" s="108"/>
      <c r="K74" s="108"/>
      <c r="L74" s="108"/>
      <c r="M74" s="108"/>
      <c r="N74" s="108"/>
      <c r="O74" s="127"/>
    </row>
    <row r="75" spans="1:15">
      <c r="A75" s="116" t="s">
        <v>575</v>
      </c>
      <c r="B75" s="102"/>
      <c r="C75" s="102"/>
      <c r="D75" s="102" t="s">
        <v>477</v>
      </c>
      <c r="E75" s="103"/>
      <c r="F75" s="101"/>
      <c r="G75" s="108"/>
      <c r="H75" s="122"/>
      <c r="I75" s="126">
        <v>2</v>
      </c>
      <c r="J75" s="108"/>
      <c r="K75" s="108"/>
      <c r="L75" s="108"/>
      <c r="M75" s="108"/>
      <c r="N75" s="108"/>
      <c r="O75" s="127"/>
    </row>
    <row r="76" spans="1:15">
      <c r="A76" s="116" t="s">
        <v>1146</v>
      </c>
      <c r="B76" s="102"/>
      <c r="C76" s="102"/>
      <c r="D76" s="102" t="s">
        <v>576</v>
      </c>
      <c r="E76" s="103"/>
      <c r="F76" s="101"/>
      <c r="G76" s="108"/>
      <c r="H76" s="122"/>
      <c r="I76" s="126">
        <v>12</v>
      </c>
      <c r="J76" s="108"/>
      <c r="K76" s="108"/>
      <c r="L76" s="108"/>
      <c r="M76" s="108"/>
      <c r="N76" s="108"/>
      <c r="O76" s="127">
        <v>50</v>
      </c>
    </row>
    <row r="77" spans="1:15">
      <c r="A77" s="116" t="s">
        <v>1145</v>
      </c>
      <c r="B77" s="102"/>
      <c r="C77" s="102"/>
      <c r="D77" s="102" t="s">
        <v>577</v>
      </c>
      <c r="E77" s="103"/>
      <c r="F77" s="101"/>
      <c r="G77" s="108"/>
      <c r="H77" s="122"/>
      <c r="I77" s="126">
        <v>23.4</v>
      </c>
      <c r="J77" s="108"/>
      <c r="K77" s="108"/>
      <c r="L77" s="108"/>
      <c r="M77" s="108"/>
      <c r="N77" s="108"/>
      <c r="O77" s="127">
        <v>100</v>
      </c>
    </row>
    <row r="78" spans="1:15">
      <c r="A78" s="116" t="s">
        <v>578</v>
      </c>
      <c r="B78" s="101"/>
      <c r="C78" s="102"/>
      <c r="D78" s="102" t="s">
        <v>485</v>
      </c>
      <c r="E78" s="103"/>
      <c r="F78" s="101"/>
      <c r="G78" s="108"/>
      <c r="H78" s="122"/>
      <c r="I78" s="126">
        <v>2</v>
      </c>
      <c r="J78" s="108"/>
      <c r="K78" s="108"/>
      <c r="L78" s="108"/>
      <c r="M78" s="108"/>
      <c r="N78" s="108">
        <v>1</v>
      </c>
      <c r="O78" s="127"/>
    </row>
    <row r="79" spans="1:15">
      <c r="A79" s="116" t="s">
        <v>107</v>
      </c>
      <c r="B79" s="102"/>
      <c r="C79" s="102"/>
      <c r="D79" s="102" t="s">
        <v>485</v>
      </c>
      <c r="E79" s="103"/>
      <c r="F79" s="101"/>
      <c r="G79" s="108"/>
      <c r="H79" s="122"/>
      <c r="I79" s="126">
        <v>0.35</v>
      </c>
      <c r="J79" s="108">
        <v>0.17</v>
      </c>
      <c r="K79" s="108"/>
      <c r="L79" s="108"/>
      <c r="M79" s="108"/>
      <c r="N79" s="108"/>
      <c r="O79" s="127"/>
    </row>
    <row r="80" spans="1:15">
      <c r="A80" s="117" t="s">
        <v>579</v>
      </c>
      <c r="B80" s="105"/>
      <c r="C80" s="105"/>
      <c r="D80" s="105" t="s">
        <v>488</v>
      </c>
      <c r="E80" s="103" t="s">
        <v>563</v>
      </c>
      <c r="F80" s="106" t="s">
        <v>572</v>
      </c>
      <c r="G80" s="108">
        <v>9</v>
      </c>
      <c r="H80" s="122"/>
      <c r="I80" s="126"/>
      <c r="J80" s="108"/>
      <c r="K80" s="108"/>
      <c r="L80" s="108"/>
      <c r="M80" s="108"/>
      <c r="N80" s="108">
        <v>100</v>
      </c>
      <c r="O80" s="127"/>
    </row>
    <row r="81" spans="1:15">
      <c r="A81" s="116" t="s">
        <v>360</v>
      </c>
      <c r="B81" s="102"/>
      <c r="C81" s="102"/>
      <c r="D81" s="102" t="s">
        <v>485</v>
      </c>
      <c r="E81" s="103"/>
      <c r="F81" s="101"/>
      <c r="G81" s="108"/>
      <c r="H81" s="122"/>
      <c r="I81" s="126">
        <v>1</v>
      </c>
      <c r="J81" s="108"/>
      <c r="K81" s="108"/>
      <c r="L81" s="108"/>
      <c r="M81" s="108"/>
      <c r="N81" s="108"/>
      <c r="O81" s="127"/>
    </row>
    <row r="82" spans="1:15">
      <c r="A82" s="118" t="s">
        <v>290</v>
      </c>
      <c r="B82" s="101"/>
      <c r="C82" s="101"/>
      <c r="D82" s="101" t="s">
        <v>474</v>
      </c>
      <c r="E82" s="103"/>
      <c r="F82" s="101" t="s">
        <v>580</v>
      </c>
      <c r="G82" s="108"/>
      <c r="H82" s="122"/>
      <c r="I82" s="126">
        <v>10</v>
      </c>
      <c r="J82" s="108"/>
      <c r="K82" s="108"/>
      <c r="L82" s="108"/>
      <c r="M82" s="108"/>
      <c r="N82" s="108"/>
      <c r="O82" s="127"/>
    </row>
    <row r="83" spans="1:15">
      <c r="A83" s="116" t="s">
        <v>257</v>
      </c>
      <c r="B83" s="102"/>
      <c r="C83" s="102"/>
      <c r="D83" s="102" t="s">
        <v>485</v>
      </c>
      <c r="E83" s="103"/>
      <c r="F83" s="101"/>
      <c r="G83" s="108"/>
      <c r="H83" s="122"/>
      <c r="I83" s="126">
        <v>1</v>
      </c>
      <c r="J83" s="108"/>
      <c r="K83" s="108"/>
      <c r="L83" s="108"/>
      <c r="M83" s="108"/>
      <c r="N83" s="108"/>
      <c r="O83" s="127">
        <v>5</v>
      </c>
    </row>
    <row r="84" spans="1:15">
      <c r="A84" s="110" t="s">
        <v>581</v>
      </c>
      <c r="B84" s="101"/>
      <c r="C84" s="102"/>
      <c r="D84" s="102"/>
      <c r="E84" s="101"/>
      <c r="F84" s="101"/>
      <c r="G84" s="106"/>
      <c r="H84" s="124"/>
      <c r="I84" s="131"/>
      <c r="J84" s="113"/>
      <c r="K84" s="113"/>
      <c r="L84" s="113"/>
      <c r="M84" s="113"/>
      <c r="N84" s="114"/>
      <c r="O84" s="132"/>
    </row>
    <row r="85" spans="1:15">
      <c r="A85" s="104" t="s">
        <v>344</v>
      </c>
      <c r="B85" s="102" t="s">
        <v>582</v>
      </c>
      <c r="C85" s="102" t="s">
        <v>344</v>
      </c>
      <c r="D85" s="102" t="s">
        <v>583</v>
      </c>
      <c r="E85" s="103">
        <v>56.67</v>
      </c>
      <c r="F85" s="101"/>
      <c r="G85" s="108">
        <v>35</v>
      </c>
      <c r="H85" s="125">
        <v>28.571428571428573</v>
      </c>
      <c r="I85" s="126">
        <v>28.571428571428573</v>
      </c>
      <c r="J85" s="108"/>
      <c r="K85" s="108"/>
      <c r="L85" s="108"/>
      <c r="M85" s="108"/>
      <c r="N85" s="108"/>
      <c r="O85" s="127"/>
    </row>
    <row r="86" spans="1:15">
      <c r="A86" s="107" t="s">
        <v>120</v>
      </c>
      <c r="B86" s="101"/>
      <c r="C86" s="107" t="s">
        <v>120</v>
      </c>
      <c r="D86" s="102" t="s">
        <v>583</v>
      </c>
      <c r="E86" s="101">
        <v>47.25</v>
      </c>
      <c r="F86" s="101" t="s">
        <v>475</v>
      </c>
      <c r="G86" s="108">
        <v>50</v>
      </c>
      <c r="H86" s="125">
        <v>20</v>
      </c>
      <c r="I86" s="126">
        <v>20</v>
      </c>
      <c r="J86" s="108"/>
      <c r="K86" s="108"/>
      <c r="L86" s="108"/>
      <c r="M86" s="108"/>
      <c r="N86" s="108"/>
      <c r="O86" s="127"/>
    </row>
    <row r="87" spans="1:15">
      <c r="A87" s="107" t="s">
        <v>258</v>
      </c>
      <c r="B87" s="102" t="s">
        <v>584</v>
      </c>
      <c r="C87" s="102" t="s">
        <v>585</v>
      </c>
      <c r="D87" s="102" t="s">
        <v>583</v>
      </c>
      <c r="E87" s="103">
        <v>72</v>
      </c>
      <c r="F87" s="101"/>
      <c r="G87" s="108">
        <v>85</v>
      </c>
      <c r="H87" s="125">
        <v>11.764705882352942</v>
      </c>
      <c r="I87" s="126">
        <v>11.764705882352942</v>
      </c>
      <c r="J87" s="108"/>
      <c r="K87" s="108"/>
      <c r="L87" s="108"/>
      <c r="M87" s="108"/>
      <c r="N87" s="108"/>
      <c r="O87" s="127"/>
    </row>
    <row r="88" spans="1:15">
      <c r="A88" s="107" t="s">
        <v>586</v>
      </c>
      <c r="B88" s="102" t="s">
        <v>587</v>
      </c>
      <c r="C88" s="102" t="s">
        <v>588</v>
      </c>
      <c r="D88" s="102" t="s">
        <v>583</v>
      </c>
      <c r="E88" s="103">
        <v>43</v>
      </c>
      <c r="F88" s="101"/>
      <c r="G88" s="108">
        <v>85</v>
      </c>
      <c r="H88" s="125">
        <v>11.764705882352942</v>
      </c>
      <c r="I88" s="126">
        <v>11.764705882352942</v>
      </c>
      <c r="J88" s="108"/>
      <c r="K88" s="108"/>
      <c r="L88" s="108"/>
      <c r="M88" s="108"/>
      <c r="N88" s="108"/>
      <c r="O88" s="127"/>
    </row>
    <row r="89" spans="1:15">
      <c r="A89" s="104" t="s">
        <v>1217</v>
      </c>
      <c r="B89" s="102" t="s">
        <v>589</v>
      </c>
      <c r="C89" s="102" t="s">
        <v>406</v>
      </c>
      <c r="D89" s="102" t="s">
        <v>583</v>
      </c>
      <c r="E89" s="103">
        <v>33.33</v>
      </c>
      <c r="F89" s="101"/>
      <c r="G89" s="108">
        <v>25</v>
      </c>
      <c r="H89" s="125">
        <v>40</v>
      </c>
      <c r="I89" s="126">
        <v>40</v>
      </c>
      <c r="J89" s="108"/>
      <c r="K89" s="108"/>
      <c r="L89" s="108"/>
      <c r="M89" s="108"/>
      <c r="N89" s="108"/>
      <c r="O89" s="127"/>
    </row>
    <row r="90" spans="1:15">
      <c r="A90" s="104" t="s">
        <v>406</v>
      </c>
      <c r="B90" s="102" t="s">
        <v>589</v>
      </c>
      <c r="C90" s="102" t="s">
        <v>406</v>
      </c>
      <c r="D90" s="102" t="s">
        <v>583</v>
      </c>
      <c r="E90" s="103">
        <v>33.33</v>
      </c>
      <c r="F90" s="101"/>
      <c r="G90" s="108">
        <v>25</v>
      </c>
      <c r="H90" s="125">
        <v>40</v>
      </c>
      <c r="I90" s="126">
        <v>40</v>
      </c>
      <c r="J90" s="108"/>
      <c r="K90" s="108"/>
      <c r="L90" s="108"/>
      <c r="M90" s="108"/>
      <c r="N90" s="108"/>
      <c r="O90" s="127"/>
    </row>
    <row r="91" spans="1:15">
      <c r="A91" s="104" t="s">
        <v>249</v>
      </c>
      <c r="B91" s="102" t="s">
        <v>589</v>
      </c>
      <c r="C91" s="102" t="s">
        <v>590</v>
      </c>
      <c r="D91" s="102" t="s">
        <v>583</v>
      </c>
      <c r="E91" s="103">
        <v>31.5</v>
      </c>
      <c r="F91" s="101"/>
      <c r="G91" s="108">
        <v>60</v>
      </c>
      <c r="H91" s="125">
        <v>16.666666666666668</v>
      </c>
      <c r="I91" s="126">
        <v>16.666666666666668</v>
      </c>
      <c r="J91" s="108"/>
      <c r="K91" s="108"/>
      <c r="L91" s="108"/>
      <c r="M91" s="108"/>
      <c r="N91" s="108"/>
      <c r="O91" s="127"/>
    </row>
    <row r="92" spans="1:15">
      <c r="A92" s="104" t="s">
        <v>590</v>
      </c>
      <c r="B92" s="102" t="s">
        <v>589</v>
      </c>
      <c r="C92" s="102" t="s">
        <v>590</v>
      </c>
      <c r="D92" s="102" t="s">
        <v>583</v>
      </c>
      <c r="E92" s="103">
        <v>31.5</v>
      </c>
      <c r="F92" s="101"/>
      <c r="G92" s="108">
        <v>60</v>
      </c>
      <c r="H92" s="125">
        <v>16.666666666666668</v>
      </c>
      <c r="I92" s="126">
        <v>16.666666666666668</v>
      </c>
      <c r="J92" s="108"/>
      <c r="K92" s="108"/>
      <c r="L92" s="108"/>
      <c r="M92" s="108"/>
      <c r="N92" s="108"/>
      <c r="O92" s="127"/>
    </row>
    <row r="93" spans="1:15">
      <c r="A93" s="107" t="s">
        <v>420</v>
      </c>
      <c r="B93" s="101" t="s">
        <v>591</v>
      </c>
      <c r="C93" s="101" t="s">
        <v>438</v>
      </c>
      <c r="D93" s="101" t="s">
        <v>583</v>
      </c>
      <c r="E93" s="103">
        <v>31.5</v>
      </c>
      <c r="F93" s="101"/>
      <c r="G93" s="108">
        <v>45</v>
      </c>
      <c r="H93" s="125">
        <v>22.222222222222221</v>
      </c>
      <c r="I93" s="126">
        <v>22.222222222222221</v>
      </c>
      <c r="J93" s="108"/>
      <c r="K93" s="108"/>
      <c r="L93" s="108"/>
      <c r="M93" s="108"/>
      <c r="N93" s="108"/>
      <c r="O93" s="127"/>
    </row>
    <row r="94" spans="1:15">
      <c r="A94" s="107" t="s">
        <v>438</v>
      </c>
      <c r="B94" s="101" t="s">
        <v>591</v>
      </c>
      <c r="C94" s="101" t="s">
        <v>438</v>
      </c>
      <c r="D94" s="101" t="s">
        <v>583</v>
      </c>
      <c r="E94" s="103">
        <v>31.5</v>
      </c>
      <c r="F94" s="101"/>
      <c r="G94" s="108">
        <v>45</v>
      </c>
      <c r="H94" s="125">
        <v>22.222222222222221</v>
      </c>
      <c r="I94" s="126">
        <v>22.222222222222221</v>
      </c>
      <c r="J94" s="108"/>
      <c r="K94" s="108"/>
      <c r="L94" s="108"/>
      <c r="M94" s="108"/>
      <c r="N94" s="108"/>
      <c r="O94" s="127"/>
    </row>
    <row r="95" spans="1:15">
      <c r="A95" s="104" t="s">
        <v>62</v>
      </c>
      <c r="B95" s="102" t="s">
        <v>592</v>
      </c>
      <c r="C95" s="102" t="s">
        <v>333</v>
      </c>
      <c r="D95" s="102" t="s">
        <v>583</v>
      </c>
      <c r="E95" s="103">
        <v>48</v>
      </c>
      <c r="F95" s="101"/>
      <c r="G95" s="108">
        <v>90</v>
      </c>
      <c r="H95" s="125">
        <v>11.111111111111111</v>
      </c>
      <c r="I95" s="126">
        <v>11.111111111111111</v>
      </c>
      <c r="J95" s="108"/>
      <c r="K95" s="108"/>
      <c r="L95" s="108"/>
      <c r="M95" s="108"/>
      <c r="N95" s="108"/>
      <c r="O95" s="127"/>
    </row>
    <row r="96" spans="1:15">
      <c r="A96" s="104" t="s">
        <v>593</v>
      </c>
      <c r="B96" s="102" t="s">
        <v>594</v>
      </c>
      <c r="C96" s="102" t="s">
        <v>595</v>
      </c>
      <c r="D96" s="102" t="s">
        <v>583</v>
      </c>
      <c r="E96" s="103">
        <v>40</v>
      </c>
      <c r="F96" s="101"/>
      <c r="G96" s="108">
        <v>125</v>
      </c>
      <c r="H96" s="125">
        <v>8</v>
      </c>
      <c r="I96" s="126">
        <v>8</v>
      </c>
      <c r="J96" s="108"/>
      <c r="K96" s="108"/>
      <c r="L96" s="108"/>
      <c r="M96" s="108"/>
      <c r="N96" s="108"/>
      <c r="O96" s="127"/>
    </row>
    <row r="97" spans="1:15">
      <c r="A97" s="104" t="s">
        <v>412</v>
      </c>
      <c r="B97" s="101" t="s">
        <v>596</v>
      </c>
      <c r="C97" s="102" t="s">
        <v>412</v>
      </c>
      <c r="D97" s="102" t="s">
        <v>583</v>
      </c>
      <c r="E97" s="103">
        <v>30</v>
      </c>
      <c r="F97" s="101"/>
      <c r="G97" s="108">
        <v>55</v>
      </c>
      <c r="H97" s="125">
        <v>18.181818181818183</v>
      </c>
      <c r="I97" s="126">
        <v>18.181818181818183</v>
      </c>
      <c r="J97" s="108"/>
      <c r="K97" s="108"/>
      <c r="L97" s="108"/>
      <c r="M97" s="108"/>
      <c r="N97" s="108"/>
      <c r="O97" s="127"/>
    </row>
    <row r="98" spans="1:15">
      <c r="A98" s="104" t="s">
        <v>333</v>
      </c>
      <c r="B98" s="102" t="s">
        <v>592</v>
      </c>
      <c r="C98" s="102" t="s">
        <v>333</v>
      </c>
      <c r="D98" s="102" t="s">
        <v>583</v>
      </c>
      <c r="E98" s="103">
        <v>48</v>
      </c>
      <c r="F98" s="101"/>
      <c r="G98" s="108">
        <v>90</v>
      </c>
      <c r="H98" s="125">
        <v>11.111111111111111</v>
      </c>
      <c r="I98" s="126">
        <v>11.111111111111111</v>
      </c>
      <c r="J98" s="108"/>
      <c r="K98" s="108"/>
      <c r="L98" s="108"/>
      <c r="M98" s="108"/>
      <c r="N98" s="108"/>
      <c r="O98" s="127"/>
    </row>
    <row r="99" spans="1:15">
      <c r="A99" s="104" t="s">
        <v>334</v>
      </c>
      <c r="B99" s="102" t="s">
        <v>597</v>
      </c>
      <c r="C99" s="102" t="s">
        <v>334</v>
      </c>
      <c r="D99" s="102" t="s">
        <v>583</v>
      </c>
      <c r="E99" s="103">
        <v>100</v>
      </c>
      <c r="F99" s="101"/>
      <c r="G99" s="108">
        <v>80</v>
      </c>
      <c r="H99" s="125">
        <v>12.5</v>
      </c>
      <c r="I99" s="126">
        <v>12.5</v>
      </c>
      <c r="J99" s="108"/>
      <c r="K99" s="108"/>
      <c r="L99" s="108"/>
      <c r="M99" s="108"/>
      <c r="N99" s="108"/>
      <c r="O99" s="127"/>
    </row>
    <row r="100" spans="1:15">
      <c r="A100" s="104" t="s">
        <v>347</v>
      </c>
      <c r="B100" s="102" t="s">
        <v>598</v>
      </c>
      <c r="C100" s="102" t="s">
        <v>347</v>
      </c>
      <c r="D100" s="102" t="s">
        <v>583</v>
      </c>
      <c r="E100" s="103">
        <v>50</v>
      </c>
      <c r="F100" s="101"/>
      <c r="G100" s="108">
        <v>85</v>
      </c>
      <c r="H100" s="125">
        <v>11.764705882352942</v>
      </c>
      <c r="I100" s="126">
        <v>11.764705882352942</v>
      </c>
      <c r="J100" s="108"/>
      <c r="K100" s="108"/>
      <c r="L100" s="108"/>
      <c r="M100" s="108"/>
      <c r="N100" s="108"/>
      <c r="O100" s="127"/>
    </row>
    <row r="101" spans="1:15">
      <c r="A101" s="104" t="s">
        <v>599</v>
      </c>
      <c r="B101" s="101" t="s">
        <v>600</v>
      </c>
      <c r="C101" s="102" t="s">
        <v>599</v>
      </c>
      <c r="D101" s="102" t="s">
        <v>583</v>
      </c>
      <c r="E101" s="103">
        <v>120</v>
      </c>
      <c r="F101" s="101"/>
      <c r="G101" s="108">
        <v>100</v>
      </c>
      <c r="H101" s="125">
        <v>10</v>
      </c>
      <c r="I101" s="126">
        <v>10</v>
      </c>
      <c r="J101" s="108"/>
      <c r="K101" s="108"/>
      <c r="L101" s="108"/>
      <c r="M101" s="108"/>
      <c r="N101" s="108"/>
      <c r="O101" s="127"/>
    </row>
    <row r="102" spans="1:15">
      <c r="A102" s="104" t="s">
        <v>1138</v>
      </c>
      <c r="B102" s="102" t="s">
        <v>602</v>
      </c>
      <c r="C102" s="102" t="s">
        <v>601</v>
      </c>
      <c r="D102" s="102" t="s">
        <v>583</v>
      </c>
      <c r="E102" s="103">
        <v>68</v>
      </c>
      <c r="F102" s="101"/>
      <c r="G102" s="108">
        <v>55</v>
      </c>
      <c r="H102" s="125">
        <v>18.181818181818183</v>
      </c>
      <c r="I102" s="126">
        <v>18.181818181818183</v>
      </c>
      <c r="J102" s="108"/>
      <c r="K102" s="108"/>
      <c r="L102" s="108"/>
      <c r="M102" s="108"/>
      <c r="N102" s="108"/>
      <c r="O102" s="127"/>
    </row>
    <row r="103" spans="1:15">
      <c r="A103" s="104" t="s">
        <v>601</v>
      </c>
      <c r="B103" s="102" t="s">
        <v>602</v>
      </c>
      <c r="C103" s="102" t="s">
        <v>601</v>
      </c>
      <c r="D103" s="102" t="s">
        <v>583</v>
      </c>
      <c r="E103" s="103">
        <v>68</v>
      </c>
      <c r="F103" s="101"/>
      <c r="G103" s="108">
        <v>55</v>
      </c>
      <c r="H103" s="125">
        <v>18.181818181818183</v>
      </c>
      <c r="I103" s="126">
        <v>18.181818181818183</v>
      </c>
      <c r="J103" s="108"/>
      <c r="K103" s="108"/>
      <c r="L103" s="108"/>
      <c r="M103" s="108"/>
      <c r="N103" s="108"/>
      <c r="O103" s="127"/>
    </row>
    <row r="104" spans="1:15">
      <c r="A104" s="104" t="s">
        <v>603</v>
      </c>
      <c r="B104" s="102" t="s">
        <v>604</v>
      </c>
      <c r="C104" s="102" t="s">
        <v>603</v>
      </c>
      <c r="D104" s="102" t="s">
        <v>583</v>
      </c>
      <c r="E104" s="103">
        <v>85.75</v>
      </c>
      <c r="F104" s="101"/>
      <c r="G104" s="108">
        <v>70</v>
      </c>
      <c r="H104" s="125">
        <v>14.285714285714286</v>
      </c>
      <c r="I104" s="126">
        <v>14.285714285714286</v>
      </c>
      <c r="J104" s="108"/>
      <c r="K104" s="108"/>
      <c r="L104" s="108"/>
      <c r="M104" s="108"/>
      <c r="N104" s="108"/>
      <c r="O104" s="127"/>
    </row>
    <row r="105" spans="1:15">
      <c r="A105" s="104" t="s">
        <v>605</v>
      </c>
      <c r="B105" s="102" t="s">
        <v>606</v>
      </c>
      <c r="C105" s="102" t="s">
        <v>605</v>
      </c>
      <c r="D105" s="102" t="s">
        <v>583</v>
      </c>
      <c r="E105" s="103">
        <v>38.5</v>
      </c>
      <c r="F105" s="101"/>
      <c r="G105" s="108">
        <v>25</v>
      </c>
      <c r="H105" s="125">
        <v>40</v>
      </c>
      <c r="I105" s="126">
        <v>40</v>
      </c>
      <c r="J105" s="108"/>
      <c r="K105" s="108"/>
      <c r="L105" s="108"/>
      <c r="M105" s="108"/>
      <c r="N105" s="108"/>
      <c r="O105" s="127"/>
    </row>
    <row r="106" spans="1:15">
      <c r="A106" s="104" t="s">
        <v>607</v>
      </c>
      <c r="B106" s="101" t="s">
        <v>608</v>
      </c>
      <c r="C106" s="102" t="s">
        <v>609</v>
      </c>
      <c r="D106" s="102" t="s">
        <v>583</v>
      </c>
      <c r="E106" s="103">
        <v>41.67</v>
      </c>
      <c r="F106" s="101"/>
      <c r="G106" s="108">
        <v>45</v>
      </c>
      <c r="H106" s="125">
        <v>22.222222222222221</v>
      </c>
      <c r="I106" s="126">
        <v>22.222222222222221</v>
      </c>
      <c r="J106" s="108"/>
      <c r="K106" s="108"/>
      <c r="L106" s="108"/>
      <c r="M106" s="108"/>
      <c r="N106" s="108"/>
      <c r="O106" s="127"/>
    </row>
    <row r="107" spans="1:15">
      <c r="A107" s="104" t="s">
        <v>609</v>
      </c>
      <c r="B107" s="101" t="s">
        <v>608</v>
      </c>
      <c r="C107" s="102" t="s">
        <v>609</v>
      </c>
      <c r="D107" s="102" t="s">
        <v>583</v>
      </c>
      <c r="E107" s="103">
        <v>41.67</v>
      </c>
      <c r="F107" s="101"/>
      <c r="G107" s="108">
        <v>20</v>
      </c>
      <c r="H107" s="125">
        <v>50</v>
      </c>
      <c r="I107" s="126">
        <v>50</v>
      </c>
      <c r="J107" s="108"/>
      <c r="K107" s="108"/>
      <c r="L107" s="108"/>
      <c r="M107" s="108"/>
      <c r="N107" s="108"/>
      <c r="O107" s="127"/>
    </row>
    <row r="108" spans="1:15">
      <c r="A108" s="107" t="s">
        <v>317</v>
      </c>
      <c r="B108" s="101" t="s">
        <v>610</v>
      </c>
      <c r="C108" s="101" t="s">
        <v>317</v>
      </c>
      <c r="D108" s="101" t="s">
        <v>583</v>
      </c>
      <c r="E108" s="103">
        <v>58.33</v>
      </c>
      <c r="F108" s="101"/>
      <c r="G108" s="108">
        <v>60</v>
      </c>
      <c r="H108" s="125">
        <v>16.666666666666668</v>
      </c>
      <c r="I108" s="126">
        <v>16.666666666666668</v>
      </c>
      <c r="J108" s="108"/>
      <c r="K108" s="108"/>
      <c r="L108" s="108"/>
      <c r="M108" s="108"/>
      <c r="N108" s="108"/>
      <c r="O108" s="127"/>
    </row>
    <row r="109" spans="1:15">
      <c r="A109" s="104" t="s">
        <v>232</v>
      </c>
      <c r="B109" s="101" t="s">
        <v>611</v>
      </c>
      <c r="C109" s="102" t="s">
        <v>232</v>
      </c>
      <c r="D109" s="102" t="s">
        <v>583</v>
      </c>
      <c r="E109" s="103">
        <v>38.5</v>
      </c>
      <c r="F109" s="101"/>
      <c r="G109" s="108">
        <v>50</v>
      </c>
      <c r="H109" s="125">
        <v>20</v>
      </c>
      <c r="I109" s="126">
        <v>20</v>
      </c>
      <c r="J109" s="108"/>
      <c r="K109" s="108"/>
      <c r="L109" s="108"/>
      <c r="M109" s="108"/>
      <c r="N109" s="108"/>
      <c r="O109" s="127"/>
    </row>
    <row r="110" spans="1:15">
      <c r="A110" s="104" t="s">
        <v>612</v>
      </c>
      <c r="B110" s="102" t="s">
        <v>613</v>
      </c>
      <c r="C110" s="102" t="s">
        <v>614</v>
      </c>
      <c r="D110" s="102" t="s">
        <v>583</v>
      </c>
      <c r="E110" s="103">
        <v>91.89</v>
      </c>
      <c r="F110" s="101"/>
      <c r="G110" s="108">
        <v>441</v>
      </c>
      <c r="H110" s="125">
        <v>2.2675736961451247</v>
      </c>
      <c r="I110" s="126">
        <v>2.2675736961451247</v>
      </c>
      <c r="J110" s="108"/>
      <c r="K110" s="108"/>
      <c r="L110" s="108"/>
      <c r="M110" s="108"/>
      <c r="N110" s="108"/>
      <c r="O110" s="127"/>
    </row>
    <row r="111" spans="1:15">
      <c r="A111" s="104" t="s">
        <v>615</v>
      </c>
      <c r="B111" s="102" t="s">
        <v>613</v>
      </c>
      <c r="C111" s="102" t="s">
        <v>614</v>
      </c>
      <c r="D111" s="102" t="s">
        <v>583</v>
      </c>
      <c r="E111" s="103">
        <v>91.89</v>
      </c>
      <c r="F111" s="101"/>
      <c r="G111" s="108">
        <v>441</v>
      </c>
      <c r="H111" s="125">
        <v>2.2675736961451247</v>
      </c>
      <c r="I111" s="126">
        <v>2.2675736961451247</v>
      </c>
      <c r="J111" s="108"/>
      <c r="K111" s="108"/>
      <c r="L111" s="108"/>
      <c r="M111" s="108"/>
      <c r="N111" s="108"/>
      <c r="O111" s="127"/>
    </row>
    <row r="112" spans="1:15">
      <c r="A112" s="102" t="s">
        <v>614</v>
      </c>
      <c r="B112" s="102" t="s">
        <v>613</v>
      </c>
      <c r="C112" s="102" t="s">
        <v>614</v>
      </c>
      <c r="D112" s="102" t="s">
        <v>583</v>
      </c>
      <c r="E112" s="103">
        <v>91.89</v>
      </c>
      <c r="F112" s="101"/>
      <c r="G112" s="108">
        <v>441</v>
      </c>
      <c r="H112" s="125">
        <v>2.2675736961451247</v>
      </c>
      <c r="I112" s="126">
        <v>2.2675736961451247</v>
      </c>
      <c r="J112" s="108"/>
      <c r="K112" s="108"/>
      <c r="L112" s="108"/>
      <c r="M112" s="108"/>
      <c r="N112" s="108"/>
      <c r="O112" s="127"/>
    </row>
    <row r="113" spans="1:15">
      <c r="A113" s="104" t="s">
        <v>309</v>
      </c>
      <c r="B113" s="102" t="s">
        <v>616</v>
      </c>
      <c r="C113" s="102" t="s">
        <v>309</v>
      </c>
      <c r="D113" s="102" t="s">
        <v>583</v>
      </c>
      <c r="E113" s="103">
        <v>43.33</v>
      </c>
      <c r="F113" s="101"/>
      <c r="G113" s="108">
        <v>25</v>
      </c>
      <c r="H113" s="125">
        <v>40</v>
      </c>
      <c r="I113" s="126">
        <v>40</v>
      </c>
      <c r="J113" s="108"/>
      <c r="K113" s="108"/>
      <c r="L113" s="108"/>
      <c r="M113" s="108"/>
      <c r="N113" s="108"/>
      <c r="O113" s="127"/>
    </row>
    <row r="114" spans="1:15">
      <c r="A114" s="104" t="s">
        <v>617</v>
      </c>
      <c r="B114" s="102" t="s">
        <v>618</v>
      </c>
      <c r="C114" s="102" t="s">
        <v>372</v>
      </c>
      <c r="D114" s="102" t="s">
        <v>583</v>
      </c>
      <c r="E114" s="103">
        <v>58.33</v>
      </c>
      <c r="F114" s="101"/>
      <c r="G114" s="108">
        <v>20</v>
      </c>
      <c r="H114" s="125">
        <v>50</v>
      </c>
      <c r="I114" s="126">
        <v>50</v>
      </c>
      <c r="J114" s="108"/>
      <c r="K114" s="108"/>
      <c r="L114" s="108"/>
      <c r="M114" s="108"/>
      <c r="N114" s="108"/>
      <c r="O114" s="127"/>
    </row>
    <row r="115" spans="1:15">
      <c r="A115" s="104" t="s">
        <v>1135</v>
      </c>
      <c r="B115" s="102" t="s">
        <v>618</v>
      </c>
      <c r="C115" s="102" t="s">
        <v>372</v>
      </c>
      <c r="D115" s="102" t="s">
        <v>583</v>
      </c>
      <c r="E115" s="103">
        <v>58.33</v>
      </c>
      <c r="F115" s="101"/>
      <c r="G115" s="109">
        <v>20</v>
      </c>
      <c r="H115" s="125">
        <v>50</v>
      </c>
      <c r="I115" s="126">
        <v>50</v>
      </c>
      <c r="J115" s="109"/>
      <c r="K115" s="109"/>
      <c r="L115" s="109"/>
      <c r="M115" s="109"/>
      <c r="N115" s="109"/>
      <c r="O115" s="130"/>
    </row>
    <row r="116" spans="1:15">
      <c r="A116" s="104" t="s">
        <v>372</v>
      </c>
      <c r="B116" s="102" t="s">
        <v>618</v>
      </c>
      <c r="C116" s="102" t="s">
        <v>372</v>
      </c>
      <c r="D116" s="102" t="s">
        <v>583</v>
      </c>
      <c r="E116" s="103">
        <v>58.33</v>
      </c>
      <c r="F116" s="101"/>
      <c r="G116" s="109">
        <v>20</v>
      </c>
      <c r="H116" s="125">
        <v>50</v>
      </c>
      <c r="I116" s="126">
        <v>50</v>
      </c>
      <c r="J116" s="109"/>
      <c r="K116" s="109"/>
      <c r="L116" s="109"/>
      <c r="M116" s="109"/>
      <c r="N116" s="109"/>
      <c r="O116" s="130"/>
    </row>
    <row r="117" spans="1:15">
      <c r="A117" s="107" t="s">
        <v>311</v>
      </c>
      <c r="B117" s="101" t="s">
        <v>619</v>
      </c>
      <c r="C117" s="101" t="s">
        <v>311</v>
      </c>
      <c r="D117" s="101" t="s">
        <v>583</v>
      </c>
      <c r="E117" s="103">
        <v>36.67</v>
      </c>
      <c r="F117" s="101"/>
      <c r="G117" s="108">
        <v>20</v>
      </c>
      <c r="H117" s="125">
        <v>50</v>
      </c>
      <c r="I117" s="126">
        <v>50</v>
      </c>
      <c r="J117" s="108"/>
      <c r="K117" s="108"/>
      <c r="L117" s="108"/>
      <c r="M117" s="108"/>
      <c r="N117" s="108"/>
      <c r="O117" s="127"/>
    </row>
    <row r="118" spans="1:15">
      <c r="A118" s="104" t="s">
        <v>1139</v>
      </c>
      <c r="B118" s="102" t="s">
        <v>621</v>
      </c>
      <c r="C118" s="102" t="s">
        <v>620</v>
      </c>
      <c r="D118" s="102" t="s">
        <v>583</v>
      </c>
      <c r="E118" s="103">
        <v>38.5</v>
      </c>
      <c r="F118" s="101"/>
      <c r="G118" s="108">
        <v>15</v>
      </c>
      <c r="H118" s="125">
        <v>66.666666666666671</v>
      </c>
      <c r="I118" s="126">
        <v>66.666666666666671</v>
      </c>
      <c r="J118" s="108"/>
      <c r="K118" s="108"/>
      <c r="L118" s="108"/>
      <c r="M118" s="108"/>
      <c r="N118" s="108"/>
      <c r="O118" s="127"/>
    </row>
    <row r="119" spans="1:15">
      <c r="A119" s="107" t="s">
        <v>307</v>
      </c>
      <c r="B119" s="101" t="s">
        <v>622</v>
      </c>
      <c r="C119" s="101" t="s">
        <v>307</v>
      </c>
      <c r="D119" s="101" t="s">
        <v>583</v>
      </c>
      <c r="E119" s="103">
        <v>80</v>
      </c>
      <c r="F119" s="101"/>
      <c r="G119" s="108">
        <v>30</v>
      </c>
      <c r="H119" s="125">
        <v>33.333333333333336</v>
      </c>
      <c r="I119" s="126">
        <v>33.333333333333336</v>
      </c>
      <c r="J119" s="108"/>
      <c r="K119" s="108"/>
      <c r="L119" s="108"/>
      <c r="M119" s="108"/>
      <c r="N119" s="108"/>
      <c r="O119" s="127"/>
    </row>
    <row r="120" spans="1:15">
      <c r="A120" s="107" t="s">
        <v>305</v>
      </c>
      <c r="B120" s="101" t="s">
        <v>623</v>
      </c>
      <c r="C120" s="101" t="s">
        <v>305</v>
      </c>
      <c r="D120" s="101" t="s">
        <v>583</v>
      </c>
      <c r="E120" s="103">
        <v>80</v>
      </c>
      <c r="F120" s="101"/>
      <c r="G120" s="108">
        <v>30</v>
      </c>
      <c r="H120" s="125">
        <v>33.333333333333336</v>
      </c>
      <c r="I120" s="126">
        <v>33.333333333333336</v>
      </c>
      <c r="J120" s="108"/>
      <c r="K120" s="108"/>
      <c r="L120" s="108"/>
      <c r="M120" s="108"/>
      <c r="N120" s="108"/>
      <c r="O120" s="127"/>
    </row>
    <row r="121" spans="1:15">
      <c r="A121" s="104" t="s">
        <v>624</v>
      </c>
      <c r="B121" s="102" t="s">
        <v>625</v>
      </c>
      <c r="C121" s="102" t="s">
        <v>626</v>
      </c>
      <c r="D121" s="102" t="s">
        <v>583</v>
      </c>
      <c r="E121" s="103">
        <v>104.43</v>
      </c>
      <c r="F121" s="101"/>
      <c r="G121" s="108">
        <v>20</v>
      </c>
      <c r="H121" s="125">
        <v>50</v>
      </c>
      <c r="I121" s="126">
        <v>50</v>
      </c>
      <c r="J121" s="108"/>
      <c r="K121" s="108"/>
      <c r="L121" s="108"/>
      <c r="M121" s="108"/>
      <c r="N121" s="108"/>
      <c r="O121" s="127"/>
    </row>
    <row r="122" spans="1:15">
      <c r="A122" s="104" t="s">
        <v>118</v>
      </c>
      <c r="B122" s="102" t="s">
        <v>627</v>
      </c>
      <c r="C122" s="102" t="s">
        <v>302</v>
      </c>
      <c r="D122" s="102" t="s">
        <v>583</v>
      </c>
      <c r="E122" s="103">
        <v>41.67</v>
      </c>
      <c r="F122" s="101"/>
      <c r="G122" s="108">
        <v>15</v>
      </c>
      <c r="H122" s="125">
        <v>66.666666666666671</v>
      </c>
      <c r="I122" s="126">
        <v>66.666666666666671</v>
      </c>
      <c r="J122" s="108"/>
      <c r="K122" s="108"/>
      <c r="L122" s="108"/>
      <c r="M122" s="108"/>
      <c r="N122" s="108"/>
      <c r="O122" s="127"/>
    </row>
    <row r="123" spans="1:15">
      <c r="A123" s="104" t="s">
        <v>302</v>
      </c>
      <c r="B123" s="102" t="s">
        <v>627</v>
      </c>
      <c r="C123" s="102" t="s">
        <v>302</v>
      </c>
      <c r="D123" s="102" t="s">
        <v>583</v>
      </c>
      <c r="E123" s="103">
        <v>41.67</v>
      </c>
      <c r="F123" s="101"/>
      <c r="G123" s="108">
        <v>15</v>
      </c>
      <c r="H123" s="125">
        <v>66.666666666666671</v>
      </c>
      <c r="I123" s="126">
        <v>66.666666666666671</v>
      </c>
      <c r="J123" s="108"/>
      <c r="K123" s="108"/>
      <c r="L123" s="108"/>
      <c r="M123" s="108"/>
      <c r="N123" s="108"/>
      <c r="O123" s="127"/>
    </row>
    <row r="124" spans="1:15">
      <c r="A124" s="104" t="s">
        <v>628</v>
      </c>
      <c r="B124" s="101" t="s">
        <v>629</v>
      </c>
      <c r="C124" s="102" t="s">
        <v>413</v>
      </c>
      <c r="D124" s="102" t="s">
        <v>583</v>
      </c>
      <c r="E124" s="103">
        <v>39</v>
      </c>
      <c r="F124" s="101"/>
      <c r="G124" s="108">
        <v>15</v>
      </c>
      <c r="H124" s="125">
        <v>66.666666666666671</v>
      </c>
      <c r="I124" s="126">
        <v>66.666666666666671</v>
      </c>
      <c r="J124" s="108"/>
      <c r="K124" s="108"/>
      <c r="L124" s="108"/>
      <c r="M124" s="108"/>
      <c r="N124" s="108"/>
      <c r="O124" s="127"/>
    </row>
    <row r="125" spans="1:15">
      <c r="A125" s="104" t="s">
        <v>413</v>
      </c>
      <c r="B125" s="101" t="s">
        <v>629</v>
      </c>
      <c r="C125" s="102" t="s">
        <v>413</v>
      </c>
      <c r="D125" s="102" t="s">
        <v>583</v>
      </c>
      <c r="E125" s="103">
        <v>39</v>
      </c>
      <c r="F125" s="101"/>
      <c r="G125" s="108">
        <v>15</v>
      </c>
      <c r="H125" s="125">
        <v>66.666666666666671</v>
      </c>
      <c r="I125" s="126">
        <v>66.666666666666671</v>
      </c>
      <c r="J125" s="108"/>
      <c r="K125" s="108"/>
      <c r="L125" s="108"/>
      <c r="M125" s="108"/>
      <c r="N125" s="108"/>
      <c r="O125" s="127"/>
    </row>
    <row r="126" spans="1:15">
      <c r="A126" s="107" t="s">
        <v>630</v>
      </c>
      <c r="B126" s="101" t="s">
        <v>631</v>
      </c>
      <c r="C126" s="101" t="s">
        <v>632</v>
      </c>
      <c r="D126" s="101" t="s">
        <v>583</v>
      </c>
      <c r="E126" s="103">
        <v>110</v>
      </c>
      <c r="F126" s="101"/>
      <c r="G126" s="108">
        <v>15</v>
      </c>
      <c r="H126" s="125">
        <v>66.666666666666671</v>
      </c>
      <c r="I126" s="126">
        <v>66.666666666666671</v>
      </c>
      <c r="J126" s="108"/>
      <c r="K126" s="108"/>
      <c r="L126" s="108"/>
      <c r="M126" s="108"/>
      <c r="N126" s="108"/>
      <c r="O126" s="127"/>
    </row>
    <row r="127" spans="1:15">
      <c r="A127" s="107" t="s">
        <v>632</v>
      </c>
      <c r="B127" s="101" t="s">
        <v>631</v>
      </c>
      <c r="C127" s="101" t="s">
        <v>632</v>
      </c>
      <c r="D127" s="101" t="s">
        <v>583</v>
      </c>
      <c r="E127" s="103">
        <v>110</v>
      </c>
      <c r="F127" s="101"/>
      <c r="G127" s="108">
        <v>15</v>
      </c>
      <c r="H127" s="125">
        <v>66.666666666666671</v>
      </c>
      <c r="I127" s="126">
        <v>66.666666666666671</v>
      </c>
      <c r="J127" s="108"/>
      <c r="K127" s="108"/>
      <c r="L127" s="108"/>
      <c r="M127" s="108"/>
      <c r="N127" s="108"/>
      <c r="O127" s="127"/>
    </row>
    <row r="128" spans="1:15">
      <c r="A128" s="107" t="s">
        <v>290</v>
      </c>
      <c r="B128" s="101"/>
      <c r="C128" s="101"/>
      <c r="D128" s="101" t="s">
        <v>583</v>
      </c>
      <c r="E128" s="103"/>
      <c r="F128" s="101"/>
      <c r="G128" s="108">
        <v>30</v>
      </c>
      <c r="H128" s="125">
        <v>33.333333333333336</v>
      </c>
      <c r="I128" s="126">
        <v>33.333333333333336</v>
      </c>
      <c r="J128" s="108"/>
      <c r="K128" s="108"/>
      <c r="L128" s="108"/>
      <c r="M128" s="108"/>
      <c r="N128" s="108"/>
      <c r="O128" s="127"/>
    </row>
    <row r="129" spans="1:15">
      <c r="A129" s="104" t="s">
        <v>319</v>
      </c>
      <c r="B129" s="101" t="s">
        <v>633</v>
      </c>
      <c r="C129" s="102" t="s">
        <v>319</v>
      </c>
      <c r="D129" s="102" t="s">
        <v>583</v>
      </c>
      <c r="E129" s="103">
        <v>45</v>
      </c>
      <c r="F129" s="101"/>
      <c r="G129" s="108">
        <v>25</v>
      </c>
      <c r="H129" s="125">
        <v>40</v>
      </c>
      <c r="I129" s="126">
        <v>40</v>
      </c>
      <c r="J129" s="108"/>
      <c r="K129" s="108"/>
      <c r="L129" s="108"/>
      <c r="M129" s="108"/>
      <c r="N129" s="108"/>
      <c r="O129" s="127"/>
    </row>
    <row r="130" spans="1:15">
      <c r="A130" s="104" t="s">
        <v>634</v>
      </c>
      <c r="B130" s="101" t="s">
        <v>635</v>
      </c>
      <c r="C130" s="102" t="s">
        <v>634</v>
      </c>
      <c r="D130" s="102" t="s">
        <v>583</v>
      </c>
      <c r="E130" s="103">
        <v>75</v>
      </c>
      <c r="F130" s="101"/>
      <c r="G130" s="108">
        <v>20</v>
      </c>
      <c r="H130" s="125">
        <v>50</v>
      </c>
      <c r="I130" s="126">
        <v>50</v>
      </c>
      <c r="J130" s="108"/>
      <c r="K130" s="108"/>
      <c r="L130" s="108"/>
      <c r="M130" s="108"/>
      <c r="N130" s="108"/>
      <c r="O130" s="127"/>
    </row>
    <row r="131" spans="1:15">
      <c r="A131" s="104" t="s">
        <v>636</v>
      </c>
      <c r="B131" s="102" t="s">
        <v>637</v>
      </c>
      <c r="C131" s="102" t="s">
        <v>636</v>
      </c>
      <c r="D131" s="102" t="s">
        <v>583</v>
      </c>
      <c r="E131" s="103">
        <v>61.67</v>
      </c>
      <c r="F131" s="101"/>
      <c r="G131" s="108">
        <v>20</v>
      </c>
      <c r="H131" s="125">
        <v>50</v>
      </c>
      <c r="I131" s="126">
        <v>50</v>
      </c>
      <c r="J131" s="108"/>
      <c r="K131" s="108"/>
      <c r="L131" s="108"/>
      <c r="M131" s="108"/>
      <c r="N131" s="108"/>
      <c r="O131" s="127"/>
    </row>
    <row r="132" spans="1:15">
      <c r="A132" s="107" t="s">
        <v>638</v>
      </c>
      <c r="B132" s="101" t="s">
        <v>637</v>
      </c>
      <c r="C132" s="101" t="s">
        <v>638</v>
      </c>
      <c r="D132" s="101" t="s">
        <v>583</v>
      </c>
      <c r="E132" s="103">
        <v>100.25</v>
      </c>
      <c r="F132" s="101"/>
      <c r="G132" s="108">
        <v>20</v>
      </c>
      <c r="H132" s="125">
        <v>50</v>
      </c>
      <c r="I132" s="126">
        <v>50</v>
      </c>
      <c r="J132" s="108"/>
      <c r="K132" s="108"/>
      <c r="L132" s="108"/>
      <c r="M132" s="108"/>
      <c r="N132" s="108"/>
      <c r="O132" s="127"/>
    </row>
    <row r="133" spans="1:15">
      <c r="A133" s="105" t="s">
        <v>639</v>
      </c>
      <c r="B133" s="105" t="s">
        <v>640</v>
      </c>
      <c r="C133" s="105" t="s">
        <v>639</v>
      </c>
      <c r="D133" s="105" t="s">
        <v>583</v>
      </c>
      <c r="E133" s="103">
        <v>86.67</v>
      </c>
      <c r="F133" s="106"/>
      <c r="G133" s="108">
        <v>20</v>
      </c>
      <c r="H133" s="125">
        <v>50</v>
      </c>
      <c r="I133" s="126">
        <v>50</v>
      </c>
      <c r="J133" s="108"/>
      <c r="K133" s="108"/>
      <c r="L133" s="108"/>
      <c r="M133" s="108"/>
      <c r="N133" s="108"/>
      <c r="O133" s="127"/>
    </row>
    <row r="134" spans="1:15">
      <c r="A134" s="105" t="s">
        <v>310</v>
      </c>
      <c r="B134" s="105" t="s">
        <v>641</v>
      </c>
      <c r="C134" s="105" t="s">
        <v>310</v>
      </c>
      <c r="D134" s="105" t="s">
        <v>583</v>
      </c>
      <c r="E134" s="103">
        <v>78.33</v>
      </c>
      <c r="F134" s="106"/>
      <c r="G134" s="108">
        <v>25</v>
      </c>
      <c r="H134" s="125">
        <v>40</v>
      </c>
      <c r="I134" s="126">
        <v>40</v>
      </c>
      <c r="J134" s="108"/>
      <c r="K134" s="108"/>
      <c r="L134" s="108"/>
      <c r="M134" s="108"/>
      <c r="N134" s="108"/>
      <c r="O134" s="127"/>
    </row>
    <row r="135" spans="1:15">
      <c r="A135" s="105" t="s">
        <v>642</v>
      </c>
      <c r="B135" s="105" t="s">
        <v>643</v>
      </c>
      <c r="C135" s="105" t="s">
        <v>642</v>
      </c>
      <c r="D135" s="105" t="s">
        <v>583</v>
      </c>
      <c r="E135" s="103">
        <v>41.67</v>
      </c>
      <c r="F135" s="106"/>
      <c r="G135" s="108">
        <v>20</v>
      </c>
      <c r="H135" s="125">
        <v>50</v>
      </c>
      <c r="I135" s="126">
        <v>50</v>
      </c>
      <c r="J135" s="108"/>
      <c r="K135" s="108"/>
      <c r="L135" s="108"/>
      <c r="M135" s="108"/>
      <c r="N135" s="108"/>
      <c r="O135" s="127"/>
    </row>
    <row r="136" spans="1:15">
      <c r="A136" s="105" t="s">
        <v>644</v>
      </c>
      <c r="B136" s="105" t="s">
        <v>645</v>
      </c>
      <c r="C136" s="105" t="s">
        <v>644</v>
      </c>
      <c r="D136" s="105" t="s">
        <v>583</v>
      </c>
      <c r="E136" s="103">
        <v>67</v>
      </c>
      <c r="F136" s="106"/>
      <c r="G136" s="108">
        <v>20</v>
      </c>
      <c r="H136" s="125">
        <v>50</v>
      </c>
      <c r="I136" s="126">
        <v>50</v>
      </c>
      <c r="J136" s="108"/>
      <c r="K136" s="108"/>
      <c r="L136" s="108"/>
      <c r="M136" s="108"/>
      <c r="N136" s="108"/>
      <c r="O136" s="127"/>
    </row>
    <row r="137" spans="1:15">
      <c r="A137" s="105" t="s">
        <v>646</v>
      </c>
      <c r="B137" s="105" t="s">
        <v>647</v>
      </c>
      <c r="C137" s="105" t="s">
        <v>646</v>
      </c>
      <c r="D137" s="105" t="s">
        <v>583</v>
      </c>
      <c r="E137" s="103">
        <v>150</v>
      </c>
      <c r="F137" s="106"/>
      <c r="G137" s="108">
        <v>20</v>
      </c>
      <c r="H137" s="125">
        <v>50</v>
      </c>
      <c r="I137" s="126">
        <v>50</v>
      </c>
      <c r="J137" s="108"/>
      <c r="K137" s="108"/>
      <c r="L137" s="108"/>
      <c r="M137" s="108"/>
      <c r="N137" s="108"/>
      <c r="O137" s="127"/>
    </row>
    <row r="138" spans="1:15">
      <c r="A138" s="105" t="s">
        <v>648</v>
      </c>
      <c r="B138" s="105" t="s">
        <v>649</v>
      </c>
      <c r="C138" s="105" t="s">
        <v>648</v>
      </c>
      <c r="D138" s="105" t="s">
        <v>583</v>
      </c>
      <c r="E138" s="103">
        <v>91.67</v>
      </c>
      <c r="F138" s="106"/>
      <c r="G138" s="108">
        <v>25</v>
      </c>
      <c r="H138" s="125">
        <v>40</v>
      </c>
      <c r="I138" s="126">
        <v>40</v>
      </c>
      <c r="J138" s="108"/>
      <c r="K138" s="108"/>
      <c r="L138" s="108"/>
      <c r="M138" s="108"/>
      <c r="N138" s="108"/>
      <c r="O138" s="127"/>
    </row>
    <row r="139" spans="1:15">
      <c r="A139" s="105" t="s">
        <v>65</v>
      </c>
      <c r="B139" s="105" t="s">
        <v>650</v>
      </c>
      <c r="C139" s="105" t="s">
        <v>651</v>
      </c>
      <c r="D139" s="105" t="s">
        <v>583</v>
      </c>
      <c r="E139" s="103">
        <v>40</v>
      </c>
      <c r="F139" s="106"/>
      <c r="G139" s="108">
        <v>20</v>
      </c>
      <c r="H139" s="125">
        <v>50</v>
      </c>
      <c r="I139" s="126">
        <v>50</v>
      </c>
      <c r="J139" s="108"/>
      <c r="K139" s="108"/>
      <c r="L139" s="108"/>
      <c r="M139" s="108"/>
      <c r="N139" s="108"/>
      <c r="O139" s="127"/>
    </row>
    <row r="140" spans="1:15">
      <c r="A140" s="105" t="s">
        <v>652</v>
      </c>
      <c r="B140" s="105" t="s">
        <v>653</v>
      </c>
      <c r="C140" s="105" t="s">
        <v>652</v>
      </c>
      <c r="D140" s="105" t="s">
        <v>583</v>
      </c>
      <c r="E140" s="103">
        <v>541.66999999999996</v>
      </c>
      <c r="F140" s="106"/>
      <c r="G140" s="108">
        <v>25</v>
      </c>
      <c r="H140" s="125">
        <v>40</v>
      </c>
      <c r="I140" s="126">
        <v>40</v>
      </c>
      <c r="J140" s="108"/>
      <c r="K140" s="108"/>
      <c r="L140" s="108"/>
      <c r="M140" s="108"/>
      <c r="N140" s="108"/>
      <c r="O140" s="127"/>
    </row>
    <row r="141" spans="1:15">
      <c r="A141" s="105" t="s">
        <v>433</v>
      </c>
      <c r="B141" s="105" t="s">
        <v>654</v>
      </c>
      <c r="C141" s="105" t="s">
        <v>433</v>
      </c>
      <c r="D141" s="105" t="s">
        <v>583</v>
      </c>
      <c r="E141" s="103">
        <v>50</v>
      </c>
      <c r="F141" s="106"/>
      <c r="G141" s="108">
        <v>20</v>
      </c>
      <c r="H141" s="125">
        <v>50</v>
      </c>
      <c r="I141" s="126">
        <v>50</v>
      </c>
      <c r="J141" s="108"/>
      <c r="K141" s="108"/>
      <c r="L141" s="108"/>
      <c r="M141" s="108"/>
      <c r="N141" s="108"/>
      <c r="O141" s="127"/>
    </row>
    <row r="142" spans="1:15">
      <c r="A142" s="105" t="s">
        <v>655</v>
      </c>
      <c r="B142" s="105" t="s">
        <v>656</v>
      </c>
      <c r="C142" s="105" t="s">
        <v>655</v>
      </c>
      <c r="D142" s="105" t="s">
        <v>583</v>
      </c>
      <c r="E142" s="103">
        <v>46.67</v>
      </c>
      <c r="F142" s="106"/>
      <c r="G142" s="108">
        <v>20</v>
      </c>
      <c r="H142" s="125">
        <v>50</v>
      </c>
      <c r="I142" s="126">
        <v>50</v>
      </c>
      <c r="J142" s="108"/>
      <c r="K142" s="108"/>
      <c r="L142" s="108"/>
      <c r="M142" s="108"/>
      <c r="N142" s="108"/>
      <c r="O142" s="127"/>
    </row>
    <row r="143" spans="1:15">
      <c r="A143" s="105" t="s">
        <v>657</v>
      </c>
      <c r="B143" s="105" t="s">
        <v>658</v>
      </c>
      <c r="C143" s="105" t="s">
        <v>657</v>
      </c>
      <c r="D143" s="105" t="s">
        <v>583</v>
      </c>
      <c r="E143" s="103">
        <v>76.67</v>
      </c>
      <c r="F143" s="106"/>
      <c r="G143" s="108">
        <v>25</v>
      </c>
      <c r="H143" s="125">
        <v>40</v>
      </c>
      <c r="I143" s="126">
        <v>40</v>
      </c>
      <c r="J143" s="108"/>
      <c r="K143" s="108"/>
      <c r="L143" s="108"/>
      <c r="M143" s="108"/>
      <c r="N143" s="108"/>
      <c r="O143" s="127"/>
    </row>
    <row r="144" spans="1:15">
      <c r="A144" s="104" t="s">
        <v>126</v>
      </c>
      <c r="B144" s="102" t="s">
        <v>659</v>
      </c>
      <c r="C144" s="102" t="s">
        <v>126</v>
      </c>
      <c r="D144" s="102" t="s">
        <v>583</v>
      </c>
      <c r="E144" s="103">
        <v>85</v>
      </c>
      <c r="F144" s="101"/>
      <c r="G144" s="108">
        <v>15</v>
      </c>
      <c r="H144" s="125">
        <v>66.666666666666671</v>
      </c>
      <c r="I144" s="126">
        <v>66.666666666666671</v>
      </c>
      <c r="J144" s="108"/>
      <c r="K144" s="108"/>
      <c r="L144" s="108"/>
      <c r="M144" s="108"/>
      <c r="N144" s="108"/>
      <c r="O144" s="127"/>
    </row>
    <row r="145" spans="1:15">
      <c r="A145" s="104" t="s">
        <v>660</v>
      </c>
      <c r="B145" s="101" t="s">
        <v>649</v>
      </c>
      <c r="C145" s="102" t="s">
        <v>660</v>
      </c>
      <c r="D145" s="102" t="s">
        <v>583</v>
      </c>
      <c r="E145" s="103">
        <v>83.78</v>
      </c>
      <c r="F145" s="101"/>
      <c r="G145" s="108">
        <v>25</v>
      </c>
      <c r="H145" s="125">
        <v>40</v>
      </c>
      <c r="I145" s="126">
        <v>40</v>
      </c>
      <c r="J145" s="108"/>
      <c r="K145" s="108"/>
      <c r="L145" s="108"/>
      <c r="M145" s="108"/>
      <c r="N145" s="108"/>
      <c r="O145" s="127"/>
    </row>
    <row r="146" spans="1:15">
      <c r="A146" s="105" t="s">
        <v>661</v>
      </c>
      <c r="B146" s="105" t="s">
        <v>662</v>
      </c>
      <c r="C146" s="105" t="s">
        <v>661</v>
      </c>
      <c r="D146" s="105" t="s">
        <v>583</v>
      </c>
      <c r="E146" s="103">
        <v>80</v>
      </c>
      <c r="F146" s="106"/>
      <c r="G146" s="108">
        <v>25</v>
      </c>
      <c r="H146" s="125">
        <v>40</v>
      </c>
      <c r="I146" s="126">
        <v>40</v>
      </c>
      <c r="J146" s="108"/>
      <c r="K146" s="108"/>
      <c r="L146" s="108"/>
      <c r="M146" s="108"/>
      <c r="N146" s="108"/>
      <c r="O146" s="127"/>
    </row>
    <row r="147" spans="1:15">
      <c r="A147" s="110" t="s">
        <v>663</v>
      </c>
      <c r="B147" s="101"/>
      <c r="C147" s="102"/>
      <c r="D147" s="102"/>
      <c r="E147" s="101"/>
      <c r="F147" s="101"/>
      <c r="G147" s="108"/>
      <c r="H147" s="125"/>
      <c r="I147" s="133"/>
      <c r="J147" s="76"/>
      <c r="K147" s="76"/>
      <c r="L147" s="76"/>
      <c r="M147" s="76"/>
      <c r="N147" s="115"/>
      <c r="O147" s="134"/>
    </row>
    <row r="148" spans="1:15">
      <c r="A148" s="104" t="s">
        <v>664</v>
      </c>
      <c r="B148" s="102"/>
      <c r="C148" s="102"/>
      <c r="D148" s="102" t="s">
        <v>583</v>
      </c>
      <c r="E148" s="103" t="s">
        <v>563</v>
      </c>
      <c r="F148" s="101"/>
      <c r="G148" s="108">
        <v>12</v>
      </c>
      <c r="H148" s="125">
        <v>83.333333333333329</v>
      </c>
      <c r="I148" s="126"/>
      <c r="J148" s="119">
        <v>83.333333333333329</v>
      </c>
      <c r="K148" s="108"/>
      <c r="L148" s="108"/>
      <c r="M148" s="108"/>
      <c r="N148" s="108"/>
      <c r="O148" s="127"/>
    </row>
    <row r="149" spans="1:15">
      <c r="A149" s="104" t="s">
        <v>66</v>
      </c>
      <c r="B149" s="102" t="s">
        <v>665</v>
      </c>
      <c r="C149" s="102" t="s">
        <v>666</v>
      </c>
      <c r="D149" s="102" t="s">
        <v>583</v>
      </c>
      <c r="E149" s="103">
        <v>125</v>
      </c>
      <c r="F149" s="101"/>
      <c r="G149" s="108">
        <v>35</v>
      </c>
      <c r="H149" s="125">
        <v>28.571428571428573</v>
      </c>
      <c r="I149" s="126"/>
      <c r="J149" s="119">
        <v>28.571428571428573</v>
      </c>
      <c r="K149" s="108"/>
      <c r="L149" s="108"/>
      <c r="M149" s="108"/>
      <c r="N149" s="108"/>
      <c r="O149" s="127"/>
    </row>
    <row r="150" spans="1:15">
      <c r="A150" s="104" t="s">
        <v>667</v>
      </c>
      <c r="B150" s="102" t="s">
        <v>668</v>
      </c>
      <c r="C150" s="102" t="s">
        <v>669</v>
      </c>
      <c r="D150" s="102" t="s">
        <v>583</v>
      </c>
      <c r="E150" s="103">
        <v>150</v>
      </c>
      <c r="F150" s="101"/>
      <c r="G150" s="108">
        <v>35</v>
      </c>
      <c r="H150" s="125">
        <v>28.571428571428573</v>
      </c>
      <c r="I150" s="126"/>
      <c r="J150" s="119">
        <v>28.571428571428573</v>
      </c>
      <c r="K150" s="108"/>
      <c r="L150" s="108"/>
      <c r="M150" s="108"/>
      <c r="N150" s="108"/>
      <c r="O150" s="127"/>
    </row>
    <row r="151" spans="1:15">
      <c r="A151" s="104" t="s">
        <v>670</v>
      </c>
      <c r="B151" s="102" t="s">
        <v>671</v>
      </c>
      <c r="C151" s="102" t="s">
        <v>672</v>
      </c>
      <c r="D151" s="102" t="s">
        <v>583</v>
      </c>
      <c r="E151" s="103">
        <v>155</v>
      </c>
      <c r="F151" s="101"/>
      <c r="G151" s="108">
        <v>35</v>
      </c>
      <c r="H151" s="125">
        <v>28.571428571428573</v>
      </c>
      <c r="I151" s="126"/>
      <c r="J151" s="119">
        <v>28.571428571428573</v>
      </c>
      <c r="K151" s="108"/>
      <c r="L151" s="108"/>
      <c r="M151" s="108"/>
      <c r="N151" s="108"/>
      <c r="O151" s="127"/>
    </row>
    <row r="152" spans="1:15">
      <c r="A152" s="104" t="s">
        <v>335</v>
      </c>
      <c r="B152" s="102" t="s">
        <v>673</v>
      </c>
      <c r="C152" s="102" t="s">
        <v>674</v>
      </c>
      <c r="D152" s="102" t="s">
        <v>583</v>
      </c>
      <c r="E152" s="103">
        <v>100</v>
      </c>
      <c r="F152" s="101"/>
      <c r="G152" s="108">
        <v>58</v>
      </c>
      <c r="H152" s="125">
        <v>17.241379310344829</v>
      </c>
      <c r="I152" s="126"/>
      <c r="J152" s="119">
        <v>17.241379310344829</v>
      </c>
      <c r="K152" s="108"/>
      <c r="L152" s="108"/>
      <c r="M152" s="108"/>
      <c r="N152" s="108"/>
      <c r="O152" s="127"/>
    </row>
    <row r="153" spans="1:15">
      <c r="A153" s="104" t="s">
        <v>675</v>
      </c>
      <c r="B153" s="102" t="s">
        <v>676</v>
      </c>
      <c r="C153" s="102" t="s">
        <v>677</v>
      </c>
      <c r="D153" s="102" t="s">
        <v>583</v>
      </c>
      <c r="E153" s="103">
        <v>140</v>
      </c>
      <c r="F153" s="101"/>
      <c r="G153" s="108">
        <v>58</v>
      </c>
      <c r="H153" s="125">
        <v>17.241379310344829</v>
      </c>
      <c r="I153" s="126"/>
      <c r="J153" s="119">
        <v>17.241379310344829</v>
      </c>
      <c r="K153" s="108"/>
      <c r="L153" s="108"/>
      <c r="M153" s="108"/>
      <c r="N153" s="108"/>
      <c r="O153" s="127"/>
    </row>
    <row r="154" spans="1:15">
      <c r="A154" s="107" t="s">
        <v>678</v>
      </c>
      <c r="B154" s="101" t="s">
        <v>679</v>
      </c>
      <c r="C154" s="101" t="s">
        <v>680</v>
      </c>
      <c r="D154" s="101" t="s">
        <v>583</v>
      </c>
      <c r="E154" s="103">
        <v>117</v>
      </c>
      <c r="F154" s="101"/>
      <c r="G154" s="108">
        <v>34</v>
      </c>
      <c r="H154" s="125">
        <v>29.411764705882351</v>
      </c>
      <c r="I154" s="126"/>
      <c r="J154" s="119">
        <v>29.411764705882351</v>
      </c>
      <c r="K154" s="108"/>
      <c r="L154" s="108"/>
      <c r="M154" s="108"/>
      <c r="N154" s="108"/>
      <c r="O154" s="127"/>
    </row>
    <row r="155" spans="1:15">
      <c r="A155" s="104" t="s">
        <v>329</v>
      </c>
      <c r="B155" s="102" t="s">
        <v>681</v>
      </c>
      <c r="C155" s="102" t="s">
        <v>682</v>
      </c>
      <c r="D155" s="102" t="s">
        <v>583</v>
      </c>
      <c r="E155" s="103">
        <v>85</v>
      </c>
      <c r="F155" s="101"/>
      <c r="G155" s="108">
        <v>66</v>
      </c>
      <c r="H155" s="125">
        <v>15.151515151515152</v>
      </c>
      <c r="I155" s="126"/>
      <c r="J155" s="119">
        <v>15.151515151515152</v>
      </c>
      <c r="K155" s="108"/>
      <c r="L155" s="108"/>
      <c r="M155" s="108"/>
      <c r="N155" s="108"/>
      <c r="O155" s="127"/>
    </row>
    <row r="156" spans="1:15">
      <c r="A156" s="104" t="s">
        <v>683</v>
      </c>
      <c r="B156" s="101" t="s">
        <v>684</v>
      </c>
      <c r="C156" s="102" t="s">
        <v>685</v>
      </c>
      <c r="D156" s="102" t="s">
        <v>583</v>
      </c>
      <c r="E156" s="103">
        <v>187</v>
      </c>
      <c r="F156" s="101"/>
      <c r="G156" s="108">
        <v>30</v>
      </c>
      <c r="H156" s="125">
        <v>33.333333333333336</v>
      </c>
      <c r="I156" s="126"/>
      <c r="J156" s="119">
        <v>33.333333333333336</v>
      </c>
      <c r="K156" s="108"/>
      <c r="L156" s="108"/>
      <c r="M156" s="108"/>
      <c r="N156" s="108"/>
      <c r="O156" s="127"/>
    </row>
    <row r="157" spans="1:15">
      <c r="A157" s="104" t="s">
        <v>686</v>
      </c>
      <c r="B157" s="101" t="s">
        <v>687</v>
      </c>
      <c r="C157" s="102" t="s">
        <v>686</v>
      </c>
      <c r="D157" s="102" t="s">
        <v>583</v>
      </c>
      <c r="E157" s="103">
        <v>110</v>
      </c>
      <c r="F157" s="101"/>
      <c r="G157" s="108">
        <v>40</v>
      </c>
      <c r="H157" s="125">
        <v>25</v>
      </c>
      <c r="I157" s="126"/>
      <c r="J157" s="119">
        <v>25</v>
      </c>
      <c r="K157" s="108"/>
      <c r="L157" s="108"/>
      <c r="M157" s="108"/>
      <c r="N157" s="108"/>
      <c r="O157" s="127"/>
    </row>
    <row r="158" spans="1:15">
      <c r="A158" s="104" t="s">
        <v>68</v>
      </c>
      <c r="B158" s="102" t="s">
        <v>688</v>
      </c>
      <c r="C158" s="102" t="s">
        <v>689</v>
      </c>
      <c r="D158" s="102" t="s">
        <v>583</v>
      </c>
      <c r="E158" s="103">
        <v>96.67</v>
      </c>
      <c r="F158" s="101"/>
      <c r="G158" s="108">
        <v>65</v>
      </c>
      <c r="H158" s="125">
        <v>15.384615384615385</v>
      </c>
      <c r="I158" s="126"/>
      <c r="J158" s="119">
        <v>15.384615384615385</v>
      </c>
      <c r="K158" s="108"/>
      <c r="L158" s="108"/>
      <c r="M158" s="108"/>
      <c r="N158" s="108"/>
      <c r="O158" s="127"/>
    </row>
    <row r="159" spans="1:15">
      <c r="A159" s="104" t="s">
        <v>394</v>
      </c>
      <c r="B159" s="102" t="s">
        <v>691</v>
      </c>
      <c r="C159" s="102" t="s">
        <v>690</v>
      </c>
      <c r="D159" s="102" t="s">
        <v>583</v>
      </c>
      <c r="E159" s="103">
        <v>135</v>
      </c>
      <c r="F159" s="101"/>
      <c r="G159" s="108">
        <v>35</v>
      </c>
      <c r="H159" s="125">
        <v>28.571428571428573</v>
      </c>
      <c r="I159" s="126"/>
      <c r="J159" s="119">
        <v>28.571428571428573</v>
      </c>
      <c r="K159" s="108"/>
      <c r="L159" s="108"/>
      <c r="M159" s="108"/>
      <c r="N159" s="108"/>
      <c r="O159" s="127"/>
    </row>
    <row r="160" spans="1:15">
      <c r="A160" s="104" t="s">
        <v>407</v>
      </c>
      <c r="B160" s="102" t="s">
        <v>691</v>
      </c>
      <c r="C160" s="102" t="s">
        <v>690</v>
      </c>
      <c r="D160" s="102" t="s">
        <v>583</v>
      </c>
      <c r="E160" s="103">
        <v>135</v>
      </c>
      <c r="F160" s="101"/>
      <c r="G160" s="108">
        <v>35</v>
      </c>
      <c r="H160" s="125">
        <v>28.571428571428573</v>
      </c>
      <c r="I160" s="126"/>
      <c r="J160" s="119">
        <v>28.571428571428573</v>
      </c>
      <c r="K160" s="108"/>
      <c r="L160" s="108"/>
      <c r="M160" s="108"/>
      <c r="N160" s="108"/>
      <c r="O160" s="127"/>
    </row>
    <row r="161" spans="1:15">
      <c r="A161" s="104" t="s">
        <v>690</v>
      </c>
      <c r="B161" s="102" t="s">
        <v>691</v>
      </c>
      <c r="C161" s="102" t="s">
        <v>690</v>
      </c>
      <c r="D161" s="102" t="s">
        <v>583</v>
      </c>
      <c r="E161" s="103">
        <v>135</v>
      </c>
      <c r="F161" s="101"/>
      <c r="G161" s="108">
        <v>35</v>
      </c>
      <c r="H161" s="125">
        <v>28.571428571428573</v>
      </c>
      <c r="I161" s="126"/>
      <c r="J161" s="119">
        <v>28.571428571428573</v>
      </c>
      <c r="K161" s="108"/>
      <c r="L161" s="108"/>
      <c r="M161" s="108"/>
      <c r="N161" s="108"/>
      <c r="O161" s="127"/>
    </row>
    <row r="162" spans="1:15">
      <c r="A162" s="104" t="s">
        <v>692</v>
      </c>
      <c r="B162" s="101" t="s">
        <v>693</v>
      </c>
      <c r="C162" s="102" t="s">
        <v>692</v>
      </c>
      <c r="D162" s="102" t="s">
        <v>583</v>
      </c>
      <c r="E162" s="103">
        <v>150</v>
      </c>
      <c r="F162" s="101"/>
      <c r="G162" s="108">
        <v>35</v>
      </c>
      <c r="H162" s="125">
        <v>28.571428571428573</v>
      </c>
      <c r="I162" s="126"/>
      <c r="J162" s="119">
        <v>28.571428571428573</v>
      </c>
      <c r="K162" s="108"/>
      <c r="L162" s="108"/>
      <c r="M162" s="108"/>
      <c r="N162" s="108"/>
      <c r="O162" s="127"/>
    </row>
    <row r="163" spans="1:15">
      <c r="A163" s="104" t="s">
        <v>558</v>
      </c>
      <c r="B163" s="102" t="s">
        <v>559</v>
      </c>
      <c r="C163" s="102" t="s">
        <v>560</v>
      </c>
      <c r="D163" s="101" t="s">
        <v>583</v>
      </c>
      <c r="E163" s="103">
        <v>166</v>
      </c>
      <c r="F163" s="101"/>
      <c r="G163" s="108">
        <v>65</v>
      </c>
      <c r="H163" s="125">
        <v>15.384615384615385</v>
      </c>
      <c r="I163" s="126"/>
      <c r="J163" s="119">
        <v>15.384615384615385</v>
      </c>
      <c r="K163" s="108"/>
      <c r="L163" s="108"/>
      <c r="M163" s="108"/>
      <c r="N163" s="108"/>
      <c r="O163" s="127"/>
    </row>
    <row r="164" spans="1:15">
      <c r="A164" s="104" t="s">
        <v>557</v>
      </c>
      <c r="B164" s="101" t="s">
        <v>555</v>
      </c>
      <c r="C164" s="102" t="s">
        <v>556</v>
      </c>
      <c r="D164" s="101" t="s">
        <v>583</v>
      </c>
      <c r="E164" s="103">
        <v>170</v>
      </c>
      <c r="F164" s="101"/>
      <c r="G164" s="108">
        <v>65</v>
      </c>
      <c r="H164" s="125">
        <v>15.384615384615385</v>
      </c>
      <c r="I164" s="126"/>
      <c r="J164" s="119">
        <v>15.384615384615385</v>
      </c>
      <c r="K164" s="108"/>
      <c r="L164" s="108"/>
      <c r="M164" s="108"/>
      <c r="N164" s="108"/>
      <c r="O164" s="127"/>
    </row>
    <row r="165" spans="1:15">
      <c r="A165" s="107" t="s">
        <v>694</v>
      </c>
      <c r="B165" s="101" t="s">
        <v>695</v>
      </c>
      <c r="C165" s="101" t="s">
        <v>348</v>
      </c>
      <c r="D165" s="101" t="s">
        <v>583</v>
      </c>
      <c r="E165" s="103">
        <v>216.67</v>
      </c>
      <c r="F165" s="101"/>
      <c r="G165" s="108">
        <v>10</v>
      </c>
      <c r="H165" s="125">
        <v>100</v>
      </c>
      <c r="I165" s="126"/>
      <c r="J165" s="119">
        <v>100</v>
      </c>
      <c r="K165" s="108"/>
      <c r="L165" s="108"/>
      <c r="M165" s="108"/>
      <c r="N165" s="108"/>
      <c r="O165" s="127"/>
    </row>
    <row r="166" spans="1:15">
      <c r="A166" s="107" t="s">
        <v>348</v>
      </c>
      <c r="B166" s="101" t="s">
        <v>695</v>
      </c>
      <c r="C166" s="101" t="s">
        <v>348</v>
      </c>
      <c r="D166" s="101" t="s">
        <v>583</v>
      </c>
      <c r="E166" s="103">
        <v>216.67</v>
      </c>
      <c r="F166" s="101"/>
      <c r="G166" s="108">
        <v>10</v>
      </c>
      <c r="H166" s="125">
        <v>100</v>
      </c>
      <c r="I166" s="126"/>
      <c r="J166" s="119">
        <v>100</v>
      </c>
      <c r="K166" s="108"/>
      <c r="L166" s="108"/>
      <c r="M166" s="108"/>
      <c r="N166" s="108"/>
      <c r="O166" s="127"/>
    </row>
    <row r="167" spans="1:15">
      <c r="A167" s="107" t="s">
        <v>696</v>
      </c>
      <c r="B167" s="102" t="s">
        <v>697</v>
      </c>
      <c r="C167" s="102" t="s">
        <v>698</v>
      </c>
      <c r="D167" s="102" t="s">
        <v>583</v>
      </c>
      <c r="E167" s="103">
        <v>110</v>
      </c>
      <c r="F167" s="101"/>
      <c r="G167" s="108">
        <v>50</v>
      </c>
      <c r="H167" s="125">
        <v>20</v>
      </c>
      <c r="I167" s="126"/>
      <c r="J167" s="119">
        <v>20</v>
      </c>
      <c r="K167" s="108"/>
      <c r="L167" s="108"/>
      <c r="M167" s="108"/>
      <c r="N167" s="108"/>
      <c r="O167" s="127"/>
    </row>
    <row r="168" spans="1:15">
      <c r="A168" s="104" t="s">
        <v>339</v>
      </c>
      <c r="B168" s="101" t="s">
        <v>699</v>
      </c>
      <c r="C168" s="102" t="s">
        <v>700</v>
      </c>
      <c r="D168" s="102" t="s">
        <v>583</v>
      </c>
      <c r="E168" s="103">
        <v>95</v>
      </c>
      <c r="F168" s="101"/>
      <c r="G168" s="108">
        <v>45</v>
      </c>
      <c r="H168" s="125">
        <v>22.222222222222221</v>
      </c>
      <c r="I168" s="126"/>
      <c r="J168" s="119">
        <v>22.222222222222221</v>
      </c>
      <c r="K168" s="108"/>
      <c r="L168" s="108"/>
      <c r="M168" s="108"/>
      <c r="N168" s="108"/>
      <c r="O168" s="127"/>
    </row>
    <row r="169" spans="1:15">
      <c r="A169" s="104" t="s">
        <v>109</v>
      </c>
      <c r="B169" s="102"/>
      <c r="C169" s="102" t="s">
        <v>701</v>
      </c>
      <c r="D169" s="102" t="s">
        <v>583</v>
      </c>
      <c r="E169" s="103">
        <v>38.500000000000007</v>
      </c>
      <c r="F169" s="101" t="s">
        <v>702</v>
      </c>
      <c r="G169" s="108">
        <v>80</v>
      </c>
      <c r="H169" s="125">
        <v>12.5</v>
      </c>
      <c r="I169" s="126"/>
      <c r="J169" s="119">
        <v>12.5</v>
      </c>
      <c r="K169" s="108"/>
      <c r="L169" s="108"/>
      <c r="M169" s="108"/>
      <c r="N169" s="108"/>
      <c r="O169" s="127"/>
    </row>
    <row r="170" spans="1:15">
      <c r="A170" s="104" t="s">
        <v>701</v>
      </c>
      <c r="B170" s="102" t="s">
        <v>703</v>
      </c>
      <c r="C170" s="102" t="s">
        <v>701</v>
      </c>
      <c r="D170" s="102" t="s">
        <v>583</v>
      </c>
      <c r="E170" s="103">
        <v>46.2</v>
      </c>
      <c r="F170" s="101" t="s">
        <v>702</v>
      </c>
      <c r="G170" s="108">
        <v>80</v>
      </c>
      <c r="H170" s="125">
        <v>12.5</v>
      </c>
      <c r="I170" s="126"/>
      <c r="J170" s="119">
        <v>12.5</v>
      </c>
      <c r="K170" s="108"/>
      <c r="L170" s="108"/>
      <c r="M170" s="108"/>
      <c r="N170" s="108"/>
      <c r="O170" s="127"/>
    </row>
    <row r="171" spans="1:15">
      <c r="A171" s="104" t="s">
        <v>704</v>
      </c>
      <c r="B171" s="102" t="s">
        <v>705</v>
      </c>
      <c r="C171" s="102" t="s">
        <v>704</v>
      </c>
      <c r="D171" s="102" t="s">
        <v>583</v>
      </c>
      <c r="E171" s="103">
        <v>60.9</v>
      </c>
      <c r="F171" s="101"/>
      <c r="G171" s="108">
        <v>80</v>
      </c>
      <c r="H171" s="125">
        <v>12.5</v>
      </c>
      <c r="I171" s="126"/>
      <c r="J171" s="119">
        <v>12.5</v>
      </c>
      <c r="K171" s="108"/>
      <c r="L171" s="108"/>
      <c r="M171" s="108"/>
      <c r="N171" s="108"/>
      <c r="O171" s="127"/>
    </row>
    <row r="172" spans="1:15">
      <c r="A172" s="104" t="s">
        <v>706</v>
      </c>
      <c r="B172" s="101" t="s">
        <v>707</v>
      </c>
      <c r="C172" s="102" t="s">
        <v>706</v>
      </c>
      <c r="D172" s="102" t="s">
        <v>583</v>
      </c>
      <c r="E172" s="103">
        <v>60.83</v>
      </c>
      <c r="F172" s="101"/>
      <c r="G172" s="108">
        <v>35</v>
      </c>
      <c r="H172" s="125">
        <v>28.571428571428573</v>
      </c>
      <c r="I172" s="126"/>
      <c r="J172" s="119">
        <v>28.571428571428573</v>
      </c>
      <c r="K172" s="108"/>
      <c r="L172" s="108"/>
      <c r="M172" s="108"/>
      <c r="N172" s="108"/>
      <c r="O172" s="127"/>
    </row>
    <row r="173" spans="1:15">
      <c r="A173" s="104" t="s">
        <v>390</v>
      </c>
      <c r="B173" s="102" t="s">
        <v>708</v>
      </c>
      <c r="C173" s="102" t="s">
        <v>390</v>
      </c>
      <c r="D173" s="102" t="s">
        <v>583</v>
      </c>
      <c r="E173" s="103">
        <v>62</v>
      </c>
      <c r="F173" s="101"/>
      <c r="G173" s="108">
        <v>35</v>
      </c>
      <c r="H173" s="125">
        <v>28.571428571428573</v>
      </c>
      <c r="I173" s="126"/>
      <c r="J173" s="119">
        <v>28.571428571428573</v>
      </c>
      <c r="K173" s="108"/>
      <c r="L173" s="108"/>
      <c r="M173" s="108"/>
      <c r="N173" s="108"/>
      <c r="O173" s="127"/>
    </row>
    <row r="174" spans="1:15">
      <c r="A174" s="104" t="s">
        <v>709</v>
      </c>
      <c r="B174" s="102" t="s">
        <v>710</v>
      </c>
      <c r="C174" s="102" t="s">
        <v>711</v>
      </c>
      <c r="D174" s="102" t="s">
        <v>583</v>
      </c>
      <c r="E174" s="103">
        <v>63</v>
      </c>
      <c r="F174" s="101"/>
      <c r="G174" s="108">
        <v>35</v>
      </c>
      <c r="H174" s="125">
        <v>28.571428571428573</v>
      </c>
      <c r="I174" s="126"/>
      <c r="J174" s="119">
        <v>28.571428571428573</v>
      </c>
      <c r="K174" s="108"/>
      <c r="L174" s="108"/>
      <c r="M174" s="108"/>
      <c r="N174" s="108"/>
      <c r="O174" s="127"/>
    </row>
    <row r="175" spans="1:15">
      <c r="A175" s="104" t="s">
        <v>345</v>
      </c>
      <c r="B175" s="102" t="s">
        <v>710</v>
      </c>
      <c r="C175" s="102" t="s">
        <v>711</v>
      </c>
      <c r="D175" s="102" t="s">
        <v>583</v>
      </c>
      <c r="E175" s="103">
        <v>63</v>
      </c>
      <c r="F175" s="101"/>
      <c r="G175" s="108">
        <v>35</v>
      </c>
      <c r="H175" s="125">
        <v>28.571428571428573</v>
      </c>
      <c r="I175" s="126"/>
      <c r="J175" s="119">
        <v>28.571428571428573</v>
      </c>
      <c r="K175" s="108"/>
      <c r="L175" s="108"/>
      <c r="M175" s="108"/>
      <c r="N175" s="108"/>
      <c r="O175" s="127"/>
    </row>
    <row r="176" spans="1:15">
      <c r="A176" s="104" t="s">
        <v>712</v>
      </c>
      <c r="B176" s="102" t="s">
        <v>713</v>
      </c>
      <c r="C176" s="102" t="s">
        <v>714</v>
      </c>
      <c r="D176" s="102" t="s">
        <v>583</v>
      </c>
      <c r="E176" s="103">
        <v>61.92</v>
      </c>
      <c r="F176" s="101"/>
      <c r="G176" s="108">
        <v>70</v>
      </c>
      <c r="H176" s="125">
        <v>14.285714285714286</v>
      </c>
      <c r="I176" s="126"/>
      <c r="J176" s="119">
        <v>14.285714285714286</v>
      </c>
      <c r="K176" s="108"/>
      <c r="L176" s="108"/>
      <c r="M176" s="108"/>
      <c r="N176" s="108"/>
      <c r="O176" s="127"/>
    </row>
    <row r="177" spans="1:15">
      <c r="A177" s="104" t="s">
        <v>715</v>
      </c>
      <c r="B177" s="102" t="s">
        <v>713</v>
      </c>
      <c r="C177" s="102" t="s">
        <v>714</v>
      </c>
      <c r="D177" s="102" t="s">
        <v>583</v>
      </c>
      <c r="E177" s="103">
        <v>61.92</v>
      </c>
      <c r="F177" s="101"/>
      <c r="G177" s="108">
        <v>70</v>
      </c>
      <c r="H177" s="125">
        <v>14.285714285714286</v>
      </c>
      <c r="I177" s="126"/>
      <c r="J177" s="119">
        <v>14.285714285714286</v>
      </c>
      <c r="K177" s="108"/>
      <c r="L177" s="108"/>
      <c r="M177" s="108"/>
      <c r="N177" s="108"/>
      <c r="O177" s="127"/>
    </row>
    <row r="178" spans="1:15">
      <c r="A178" s="104" t="s">
        <v>714</v>
      </c>
      <c r="B178" s="102" t="s">
        <v>713</v>
      </c>
      <c r="C178" s="102" t="s">
        <v>714</v>
      </c>
      <c r="D178" s="102" t="s">
        <v>583</v>
      </c>
      <c r="E178" s="103">
        <v>61.92</v>
      </c>
      <c r="F178" s="101"/>
      <c r="G178" s="108">
        <v>70</v>
      </c>
      <c r="H178" s="125">
        <v>14.285714285714286</v>
      </c>
      <c r="I178" s="126"/>
      <c r="J178" s="119">
        <v>14.285714285714286</v>
      </c>
      <c r="K178" s="108"/>
      <c r="L178" s="108"/>
      <c r="M178" s="108"/>
      <c r="N178" s="108"/>
      <c r="O178" s="127"/>
    </row>
    <row r="179" spans="1:15">
      <c r="A179" s="104" t="s">
        <v>716</v>
      </c>
      <c r="B179" s="102" t="s">
        <v>717</v>
      </c>
      <c r="C179" s="102" t="s">
        <v>716</v>
      </c>
      <c r="D179" s="102" t="s">
        <v>583</v>
      </c>
      <c r="E179" s="103">
        <v>126</v>
      </c>
      <c r="F179" s="101"/>
      <c r="G179" s="108">
        <v>40</v>
      </c>
      <c r="H179" s="125">
        <v>25</v>
      </c>
      <c r="I179" s="126"/>
      <c r="J179" s="119">
        <v>25</v>
      </c>
      <c r="K179" s="108"/>
      <c r="L179" s="108"/>
      <c r="M179" s="108"/>
      <c r="N179" s="108"/>
      <c r="O179" s="127"/>
    </row>
    <row r="180" spans="1:15">
      <c r="A180" s="104" t="s">
        <v>718</v>
      </c>
      <c r="B180" s="102" t="s">
        <v>719</v>
      </c>
      <c r="C180" s="102" t="s">
        <v>720</v>
      </c>
      <c r="D180" s="102" t="s">
        <v>583</v>
      </c>
      <c r="E180" s="103">
        <v>73.5</v>
      </c>
      <c r="F180" s="101"/>
      <c r="G180" s="108">
        <v>55</v>
      </c>
      <c r="H180" s="125">
        <v>18.181818181818183</v>
      </c>
      <c r="I180" s="126"/>
      <c r="J180" s="119">
        <v>18.181818181818183</v>
      </c>
      <c r="K180" s="108"/>
      <c r="L180" s="108"/>
      <c r="M180" s="108"/>
      <c r="N180" s="108"/>
      <c r="O180" s="127"/>
    </row>
    <row r="181" spans="1:15">
      <c r="A181" s="104" t="s">
        <v>721</v>
      </c>
      <c r="B181" s="102" t="s">
        <v>719</v>
      </c>
      <c r="C181" s="102" t="s">
        <v>720</v>
      </c>
      <c r="D181" s="102" t="s">
        <v>583</v>
      </c>
      <c r="E181" s="103">
        <v>73.5</v>
      </c>
      <c r="F181" s="101"/>
      <c r="G181" s="108">
        <v>55</v>
      </c>
      <c r="H181" s="125">
        <v>18.181818181818183</v>
      </c>
      <c r="I181" s="126"/>
      <c r="J181" s="119">
        <v>18.181818181818183</v>
      </c>
      <c r="K181" s="108"/>
      <c r="L181" s="108"/>
      <c r="M181" s="108"/>
      <c r="N181" s="108"/>
      <c r="O181" s="127"/>
    </row>
    <row r="182" spans="1:15">
      <c r="A182" s="104" t="s">
        <v>720</v>
      </c>
      <c r="B182" s="102" t="s">
        <v>719</v>
      </c>
      <c r="C182" s="102" t="s">
        <v>720</v>
      </c>
      <c r="D182" s="102" t="s">
        <v>583</v>
      </c>
      <c r="E182" s="103">
        <v>73.5</v>
      </c>
      <c r="F182" s="101"/>
      <c r="G182" s="108">
        <v>55</v>
      </c>
      <c r="H182" s="125">
        <v>18.181818181818183</v>
      </c>
      <c r="I182" s="126"/>
      <c r="J182" s="119">
        <v>18.181818181818183</v>
      </c>
      <c r="K182" s="108"/>
      <c r="L182" s="108"/>
      <c r="M182" s="108"/>
      <c r="N182" s="108"/>
      <c r="O182" s="127"/>
    </row>
    <row r="183" spans="1:15">
      <c r="A183" s="104" t="s">
        <v>722</v>
      </c>
      <c r="B183" s="102" t="s">
        <v>723</v>
      </c>
      <c r="C183" s="102" t="s">
        <v>722</v>
      </c>
      <c r="D183" s="102" t="s">
        <v>583</v>
      </c>
      <c r="E183" s="103">
        <v>76</v>
      </c>
      <c r="F183" s="101"/>
      <c r="G183" s="108">
        <v>55</v>
      </c>
      <c r="H183" s="125">
        <v>18.181818181818183</v>
      </c>
      <c r="I183" s="126"/>
      <c r="J183" s="119">
        <v>18.181818181818183</v>
      </c>
      <c r="K183" s="108"/>
      <c r="L183" s="108"/>
      <c r="M183" s="108"/>
      <c r="N183" s="108"/>
      <c r="O183" s="127"/>
    </row>
    <row r="184" spans="1:15">
      <c r="A184" s="104" t="s">
        <v>724</v>
      </c>
      <c r="B184" s="102" t="s">
        <v>725</v>
      </c>
      <c r="C184" s="102" t="s">
        <v>724</v>
      </c>
      <c r="D184" s="102" t="s">
        <v>583</v>
      </c>
      <c r="E184" s="103">
        <v>160.63</v>
      </c>
      <c r="F184" s="101"/>
      <c r="G184" s="108">
        <v>30</v>
      </c>
      <c r="H184" s="125">
        <v>33.333333333333336</v>
      </c>
      <c r="I184" s="126"/>
      <c r="J184" s="119">
        <v>33.333333333333336</v>
      </c>
      <c r="K184" s="108"/>
      <c r="L184" s="108"/>
      <c r="M184" s="108"/>
      <c r="N184" s="108"/>
      <c r="O184" s="127"/>
    </row>
    <row r="185" spans="1:15">
      <c r="A185" s="107" t="s">
        <v>726</v>
      </c>
      <c r="B185" s="101" t="s">
        <v>727</v>
      </c>
      <c r="C185" s="101" t="s">
        <v>726</v>
      </c>
      <c r="D185" s="101" t="s">
        <v>583</v>
      </c>
      <c r="E185" s="103">
        <v>63</v>
      </c>
      <c r="F185" s="101"/>
      <c r="G185" s="108">
        <v>70</v>
      </c>
      <c r="H185" s="125">
        <v>14.285714285714286</v>
      </c>
      <c r="I185" s="126"/>
      <c r="J185" s="119">
        <v>14.285714285714286</v>
      </c>
      <c r="K185" s="108"/>
      <c r="L185" s="108"/>
      <c r="M185" s="108"/>
      <c r="N185" s="108"/>
      <c r="O185" s="127"/>
    </row>
    <row r="186" spans="1:15">
      <c r="A186" s="104" t="s">
        <v>728</v>
      </c>
      <c r="B186" s="102" t="s">
        <v>729</v>
      </c>
      <c r="C186" s="102" t="s">
        <v>730</v>
      </c>
      <c r="D186" s="102" t="s">
        <v>583</v>
      </c>
      <c r="E186" s="103">
        <v>280</v>
      </c>
      <c r="F186" s="101"/>
      <c r="G186" s="108">
        <v>12</v>
      </c>
      <c r="H186" s="125">
        <v>83.333333333333329</v>
      </c>
      <c r="I186" s="126"/>
      <c r="J186" s="119">
        <v>83.333333333333329</v>
      </c>
      <c r="K186" s="108"/>
      <c r="L186" s="108"/>
      <c r="M186" s="108"/>
      <c r="N186" s="108"/>
      <c r="O186" s="127"/>
    </row>
    <row r="187" spans="1:15">
      <c r="A187" s="104" t="s">
        <v>403</v>
      </c>
      <c r="B187" s="102"/>
      <c r="C187" s="102"/>
      <c r="D187" s="102" t="s">
        <v>583</v>
      </c>
      <c r="E187" s="103"/>
      <c r="F187" s="101"/>
      <c r="G187" s="108">
        <v>200</v>
      </c>
      <c r="H187" s="125">
        <v>5</v>
      </c>
      <c r="I187" s="126"/>
      <c r="J187" s="119">
        <v>5</v>
      </c>
      <c r="K187" s="108"/>
      <c r="L187" s="108"/>
      <c r="M187" s="108"/>
      <c r="N187" s="108"/>
      <c r="O187" s="127"/>
    </row>
    <row r="188" spans="1:15">
      <c r="A188" s="107" t="s">
        <v>731</v>
      </c>
      <c r="B188" s="101" t="s">
        <v>732</v>
      </c>
      <c r="C188" s="101" t="s">
        <v>731</v>
      </c>
      <c r="D188" s="101" t="s">
        <v>583</v>
      </c>
      <c r="E188" s="103">
        <v>160</v>
      </c>
      <c r="F188" s="101"/>
      <c r="G188" s="108">
        <v>14</v>
      </c>
      <c r="H188" s="125">
        <v>71.428571428571431</v>
      </c>
      <c r="I188" s="126"/>
      <c r="J188" s="119">
        <v>71.428571428571431</v>
      </c>
      <c r="K188" s="108"/>
      <c r="L188" s="108"/>
      <c r="M188" s="108"/>
      <c r="N188" s="108"/>
      <c r="O188" s="127"/>
    </row>
    <row r="189" spans="1:15">
      <c r="A189" s="104" t="s">
        <v>733</v>
      </c>
      <c r="B189" s="102" t="s">
        <v>734</v>
      </c>
      <c r="C189" s="102" t="s">
        <v>733</v>
      </c>
      <c r="D189" s="102" t="s">
        <v>583</v>
      </c>
      <c r="E189" s="103">
        <v>107</v>
      </c>
      <c r="F189" s="101"/>
      <c r="G189" s="108">
        <v>40</v>
      </c>
      <c r="H189" s="125">
        <v>25</v>
      </c>
      <c r="I189" s="126"/>
      <c r="J189" s="119">
        <v>25</v>
      </c>
      <c r="K189" s="108"/>
      <c r="L189" s="108"/>
      <c r="M189" s="108"/>
      <c r="N189" s="108"/>
      <c r="O189" s="127"/>
    </row>
    <row r="190" spans="1:15">
      <c r="A190" s="104" t="s">
        <v>735</v>
      </c>
      <c r="B190" s="102" t="s">
        <v>736</v>
      </c>
      <c r="C190" s="102" t="s">
        <v>735</v>
      </c>
      <c r="D190" s="102" t="s">
        <v>583</v>
      </c>
      <c r="E190" s="103">
        <v>62.08</v>
      </c>
      <c r="F190" s="101"/>
      <c r="G190" s="108">
        <v>40</v>
      </c>
      <c r="H190" s="125">
        <v>25</v>
      </c>
      <c r="I190" s="126"/>
      <c r="J190" s="119">
        <v>25</v>
      </c>
      <c r="K190" s="108"/>
      <c r="L190" s="108"/>
      <c r="M190" s="108"/>
      <c r="N190" s="108"/>
      <c r="O190" s="127"/>
    </row>
    <row r="191" spans="1:15">
      <c r="A191" s="104" t="s">
        <v>737</v>
      </c>
      <c r="B191" s="102" t="s">
        <v>738</v>
      </c>
      <c r="C191" s="102" t="s">
        <v>739</v>
      </c>
      <c r="D191" s="102" t="s">
        <v>583</v>
      </c>
      <c r="E191" s="103">
        <v>58.33</v>
      </c>
      <c r="F191" s="101"/>
      <c r="G191" s="108">
        <v>25</v>
      </c>
      <c r="H191" s="125">
        <v>40</v>
      </c>
      <c r="I191" s="126"/>
      <c r="J191" s="119">
        <v>40</v>
      </c>
      <c r="K191" s="108"/>
      <c r="L191" s="108"/>
      <c r="M191" s="108"/>
      <c r="N191" s="108"/>
      <c r="O191" s="127"/>
    </row>
    <row r="192" spans="1:15">
      <c r="A192" s="104" t="s">
        <v>739</v>
      </c>
      <c r="B192" s="102" t="s">
        <v>738</v>
      </c>
      <c r="C192" s="102" t="s">
        <v>739</v>
      </c>
      <c r="D192" s="102" t="s">
        <v>583</v>
      </c>
      <c r="E192" s="103">
        <v>58.33</v>
      </c>
      <c r="F192" s="101"/>
      <c r="G192" s="108">
        <v>25</v>
      </c>
      <c r="H192" s="125">
        <v>40</v>
      </c>
      <c r="I192" s="126"/>
      <c r="J192" s="119">
        <v>40</v>
      </c>
      <c r="K192" s="108"/>
      <c r="L192" s="108"/>
      <c r="M192" s="108"/>
      <c r="N192" s="108"/>
      <c r="O192" s="127"/>
    </row>
    <row r="193" spans="1:15">
      <c r="A193" s="105" t="s">
        <v>740</v>
      </c>
      <c r="B193" s="105" t="s">
        <v>741</v>
      </c>
      <c r="C193" s="105" t="s">
        <v>740</v>
      </c>
      <c r="D193" s="105" t="s">
        <v>583</v>
      </c>
      <c r="E193" s="103">
        <v>160</v>
      </c>
      <c r="F193" s="106"/>
      <c r="G193" s="108">
        <v>15</v>
      </c>
      <c r="H193" s="125">
        <v>66.666666666666671</v>
      </c>
      <c r="I193" s="126"/>
      <c r="J193" s="119">
        <v>66.666666666666671</v>
      </c>
      <c r="K193" s="108"/>
      <c r="L193" s="108"/>
      <c r="M193" s="108"/>
      <c r="N193" s="108"/>
      <c r="O193" s="127"/>
    </row>
    <row r="194" spans="1:15">
      <c r="A194" s="104" t="s">
        <v>358</v>
      </c>
      <c r="B194" s="102" t="s">
        <v>742</v>
      </c>
      <c r="C194" s="102" t="s">
        <v>358</v>
      </c>
      <c r="D194" s="102" t="s">
        <v>583</v>
      </c>
      <c r="E194" s="103">
        <v>92.75</v>
      </c>
      <c r="F194" s="101"/>
      <c r="G194" s="108">
        <v>50</v>
      </c>
      <c r="H194" s="125">
        <v>20</v>
      </c>
      <c r="I194" s="126"/>
      <c r="J194" s="119">
        <v>20</v>
      </c>
      <c r="K194" s="108"/>
      <c r="L194" s="108"/>
      <c r="M194" s="108"/>
      <c r="N194" s="108"/>
      <c r="O194" s="127"/>
    </row>
    <row r="195" spans="1:15">
      <c r="A195" s="104" t="s">
        <v>325</v>
      </c>
      <c r="B195" s="102" t="s">
        <v>743</v>
      </c>
      <c r="C195" s="102" t="s">
        <v>744</v>
      </c>
      <c r="D195" s="102" t="s">
        <v>583</v>
      </c>
      <c r="E195" s="103">
        <v>131.25</v>
      </c>
      <c r="F195" s="101"/>
      <c r="G195" s="108">
        <v>50</v>
      </c>
      <c r="H195" s="125">
        <v>20</v>
      </c>
      <c r="I195" s="126"/>
      <c r="J195" s="119">
        <v>20</v>
      </c>
      <c r="K195" s="108"/>
      <c r="L195" s="108"/>
      <c r="M195" s="108"/>
      <c r="N195" s="108"/>
      <c r="O195" s="127"/>
    </row>
    <row r="196" spans="1:15">
      <c r="A196" s="104" t="s">
        <v>321</v>
      </c>
      <c r="B196" s="102" t="s">
        <v>745</v>
      </c>
      <c r="C196" s="102" t="s">
        <v>746</v>
      </c>
      <c r="D196" s="102" t="s">
        <v>583</v>
      </c>
      <c r="E196" s="103">
        <v>120.75</v>
      </c>
      <c r="F196" s="101"/>
      <c r="G196" s="108">
        <v>50</v>
      </c>
      <c r="H196" s="125">
        <v>20</v>
      </c>
      <c r="I196" s="126"/>
      <c r="J196" s="119">
        <v>20</v>
      </c>
      <c r="K196" s="108"/>
      <c r="L196" s="108"/>
      <c r="M196" s="108"/>
      <c r="N196" s="108"/>
      <c r="O196" s="127"/>
    </row>
    <row r="197" spans="1:15">
      <c r="A197" s="107" t="s">
        <v>919</v>
      </c>
      <c r="B197" s="101" t="s">
        <v>748</v>
      </c>
      <c r="C197" s="101" t="s">
        <v>747</v>
      </c>
      <c r="D197" s="102" t="s">
        <v>583</v>
      </c>
      <c r="E197" s="103">
        <v>388.5</v>
      </c>
      <c r="F197" s="101"/>
      <c r="G197" s="108">
        <v>50</v>
      </c>
      <c r="H197" s="125">
        <v>20</v>
      </c>
      <c r="I197" s="126"/>
      <c r="J197" s="119">
        <v>20</v>
      </c>
      <c r="K197" s="108"/>
      <c r="L197" s="108"/>
      <c r="M197" s="108"/>
      <c r="N197" s="108"/>
      <c r="O197" s="127"/>
    </row>
    <row r="198" spans="1:15">
      <c r="A198" s="107" t="s">
        <v>747</v>
      </c>
      <c r="B198" s="101" t="s">
        <v>748</v>
      </c>
      <c r="C198" s="101" t="s">
        <v>747</v>
      </c>
      <c r="D198" s="102" t="s">
        <v>583</v>
      </c>
      <c r="E198" s="103">
        <v>388.5</v>
      </c>
      <c r="F198" s="101"/>
      <c r="G198" s="108">
        <v>50</v>
      </c>
      <c r="H198" s="125">
        <v>20</v>
      </c>
      <c r="I198" s="126"/>
      <c r="J198" s="119">
        <v>20</v>
      </c>
      <c r="K198" s="108"/>
      <c r="L198" s="108"/>
      <c r="M198" s="108"/>
      <c r="N198" s="108"/>
      <c r="O198" s="127"/>
    </row>
    <row r="199" spans="1:15">
      <c r="A199" s="104" t="s">
        <v>370</v>
      </c>
      <c r="B199" s="101" t="s">
        <v>749</v>
      </c>
      <c r="C199" s="102" t="s">
        <v>750</v>
      </c>
      <c r="D199" s="102" t="s">
        <v>583</v>
      </c>
      <c r="E199" s="103">
        <v>120</v>
      </c>
      <c r="F199" s="101"/>
      <c r="G199" s="108">
        <v>70</v>
      </c>
      <c r="H199" s="125">
        <v>14.285714285714286</v>
      </c>
      <c r="I199" s="126"/>
      <c r="J199" s="119">
        <v>14.285714285714286</v>
      </c>
      <c r="K199" s="108"/>
      <c r="L199" s="108"/>
      <c r="M199" s="108"/>
      <c r="N199" s="108"/>
      <c r="O199" s="127"/>
    </row>
    <row r="200" spans="1:15">
      <c r="A200" s="104" t="s">
        <v>751</v>
      </c>
      <c r="B200" s="102" t="s">
        <v>752</v>
      </c>
      <c r="C200" s="102" t="s">
        <v>751</v>
      </c>
      <c r="D200" s="102" t="s">
        <v>583</v>
      </c>
      <c r="E200" s="103">
        <v>92.75</v>
      </c>
      <c r="F200" s="101"/>
      <c r="G200" s="108">
        <v>50</v>
      </c>
      <c r="H200" s="125">
        <v>20</v>
      </c>
      <c r="I200" s="126"/>
      <c r="J200" s="119">
        <v>20</v>
      </c>
      <c r="K200" s="108"/>
      <c r="L200" s="108"/>
      <c r="M200" s="108"/>
      <c r="N200" s="108"/>
      <c r="O200" s="127"/>
    </row>
    <row r="201" spans="1:15">
      <c r="A201" s="107" t="s">
        <v>250</v>
      </c>
      <c r="B201" s="101" t="s">
        <v>753</v>
      </c>
      <c r="C201" s="101" t="s">
        <v>250</v>
      </c>
      <c r="D201" s="101" t="s">
        <v>583</v>
      </c>
      <c r="E201" s="103">
        <v>103</v>
      </c>
      <c r="F201" s="101"/>
      <c r="G201" s="108">
        <v>70</v>
      </c>
      <c r="H201" s="125">
        <v>14.285714285714286</v>
      </c>
      <c r="I201" s="126"/>
      <c r="J201" s="119">
        <v>14.285714285714286</v>
      </c>
      <c r="K201" s="108"/>
      <c r="L201" s="108"/>
      <c r="M201" s="108"/>
      <c r="N201" s="108"/>
      <c r="O201" s="127"/>
    </row>
    <row r="202" spans="1:15">
      <c r="A202" s="107" t="s">
        <v>754</v>
      </c>
      <c r="B202" s="101" t="s">
        <v>755</v>
      </c>
      <c r="C202" s="101" t="s">
        <v>754</v>
      </c>
      <c r="D202" s="101" t="s">
        <v>583</v>
      </c>
      <c r="E202" s="103">
        <v>86</v>
      </c>
      <c r="F202" s="101"/>
      <c r="G202" s="109">
        <v>70</v>
      </c>
      <c r="H202" s="125">
        <v>14.285714285714286</v>
      </c>
      <c r="I202" s="129"/>
      <c r="J202" s="119">
        <v>14.285714285714286</v>
      </c>
      <c r="K202" s="109"/>
      <c r="L202" s="109"/>
      <c r="M202" s="109"/>
      <c r="N202" s="109"/>
      <c r="O202" s="130"/>
    </row>
    <row r="203" spans="1:15">
      <c r="A203" s="110" t="s">
        <v>226</v>
      </c>
      <c r="B203" s="101"/>
      <c r="C203" s="102"/>
      <c r="D203" s="102"/>
      <c r="E203" s="101"/>
      <c r="F203" s="101"/>
      <c r="G203" s="108"/>
      <c r="H203" s="125"/>
      <c r="I203" s="133"/>
      <c r="J203" s="76"/>
      <c r="K203" s="76"/>
      <c r="L203" s="76"/>
      <c r="M203" s="76"/>
      <c r="N203" s="115"/>
      <c r="O203" s="134"/>
    </row>
    <row r="204" spans="1:15">
      <c r="A204" s="107" t="s">
        <v>393</v>
      </c>
      <c r="B204" s="102" t="s">
        <v>756</v>
      </c>
      <c r="C204" s="102" t="s">
        <v>757</v>
      </c>
      <c r="D204" s="102" t="s">
        <v>583</v>
      </c>
      <c r="E204" s="103">
        <v>50</v>
      </c>
      <c r="F204" s="101"/>
      <c r="G204" s="108">
        <v>100</v>
      </c>
      <c r="H204" s="125">
        <v>10</v>
      </c>
      <c r="I204" s="126"/>
      <c r="J204" s="108"/>
      <c r="K204" s="108"/>
      <c r="L204" s="119">
        <v>10</v>
      </c>
      <c r="M204" s="108"/>
      <c r="N204" s="108"/>
      <c r="O204" s="127"/>
    </row>
    <row r="205" spans="1:15">
      <c r="A205" s="107" t="s">
        <v>758</v>
      </c>
      <c r="B205" s="101" t="s">
        <v>759</v>
      </c>
      <c r="C205" s="101" t="s">
        <v>760</v>
      </c>
      <c r="D205" s="101" t="s">
        <v>583</v>
      </c>
      <c r="E205" s="103">
        <v>44</v>
      </c>
      <c r="F205" s="101"/>
      <c r="G205" s="108">
        <v>100</v>
      </c>
      <c r="H205" s="125">
        <v>10</v>
      </c>
      <c r="I205" s="126"/>
      <c r="J205" s="108"/>
      <c r="K205" s="108"/>
      <c r="L205" s="119">
        <v>10</v>
      </c>
      <c r="M205" s="108"/>
      <c r="N205" s="108"/>
      <c r="O205" s="127"/>
    </row>
    <row r="206" spans="1:15">
      <c r="A206" s="104" t="s">
        <v>761</v>
      </c>
      <c r="B206" s="102" t="s">
        <v>762</v>
      </c>
      <c r="C206" s="102" t="s">
        <v>763</v>
      </c>
      <c r="D206" s="102" t="s">
        <v>583</v>
      </c>
      <c r="E206" s="103">
        <v>150</v>
      </c>
      <c r="F206" s="101"/>
      <c r="G206" s="108">
        <v>100</v>
      </c>
      <c r="H206" s="125">
        <v>10</v>
      </c>
      <c r="I206" s="126"/>
      <c r="J206" s="108"/>
      <c r="K206" s="108"/>
      <c r="L206" s="119">
        <v>10</v>
      </c>
      <c r="M206" s="108"/>
      <c r="N206" s="108"/>
      <c r="O206" s="127"/>
    </row>
    <row r="207" spans="1:15">
      <c r="A207" s="104" t="s">
        <v>322</v>
      </c>
      <c r="B207" s="102" t="s">
        <v>762</v>
      </c>
      <c r="C207" s="102" t="s">
        <v>763</v>
      </c>
      <c r="D207" s="102" t="s">
        <v>583</v>
      </c>
      <c r="E207" s="103">
        <v>150</v>
      </c>
      <c r="F207" s="101"/>
      <c r="G207" s="108">
        <v>100</v>
      </c>
      <c r="H207" s="125">
        <v>10</v>
      </c>
      <c r="I207" s="126"/>
      <c r="J207" s="108"/>
      <c r="K207" s="108"/>
      <c r="L207" s="119">
        <v>10</v>
      </c>
      <c r="M207" s="108"/>
      <c r="N207" s="108"/>
      <c r="O207" s="127"/>
    </row>
    <row r="208" spans="1:15">
      <c r="A208" s="104" t="s">
        <v>764</v>
      </c>
      <c r="B208" s="102" t="s">
        <v>762</v>
      </c>
      <c r="C208" s="102" t="s">
        <v>763</v>
      </c>
      <c r="D208" s="102" t="s">
        <v>583</v>
      </c>
      <c r="E208" s="103">
        <v>150</v>
      </c>
      <c r="F208" s="101"/>
      <c r="G208" s="108">
        <v>100</v>
      </c>
      <c r="H208" s="125">
        <v>10</v>
      </c>
      <c r="I208" s="126"/>
      <c r="J208" s="108"/>
      <c r="K208" s="108"/>
      <c r="L208" s="119">
        <v>10</v>
      </c>
      <c r="M208" s="108"/>
      <c r="N208" s="108"/>
      <c r="O208" s="127"/>
    </row>
    <row r="209" spans="1:15">
      <c r="A209" s="104" t="s">
        <v>765</v>
      </c>
      <c r="B209" s="102" t="s">
        <v>762</v>
      </c>
      <c r="C209" s="102" t="s">
        <v>763</v>
      </c>
      <c r="D209" s="102" t="s">
        <v>583</v>
      </c>
      <c r="E209" s="103">
        <v>150</v>
      </c>
      <c r="F209" s="101"/>
      <c r="G209" s="108">
        <v>100</v>
      </c>
      <c r="H209" s="125">
        <v>10</v>
      </c>
      <c r="I209" s="126"/>
      <c r="J209" s="108"/>
      <c r="K209" s="108"/>
      <c r="L209" s="119">
        <v>10</v>
      </c>
      <c r="M209" s="108"/>
      <c r="N209" s="108"/>
      <c r="O209" s="127"/>
    </row>
    <row r="210" spans="1:15">
      <c r="A210" s="104" t="s">
        <v>763</v>
      </c>
      <c r="B210" s="102" t="s">
        <v>762</v>
      </c>
      <c r="C210" s="102" t="s">
        <v>763</v>
      </c>
      <c r="D210" s="102" t="s">
        <v>583</v>
      </c>
      <c r="E210" s="103">
        <v>150</v>
      </c>
      <c r="F210" s="101"/>
      <c r="G210" s="108">
        <v>100</v>
      </c>
      <c r="H210" s="125">
        <v>10</v>
      </c>
      <c r="I210" s="126"/>
      <c r="J210" s="108"/>
      <c r="K210" s="108"/>
      <c r="L210" s="119">
        <v>10</v>
      </c>
      <c r="M210" s="108"/>
      <c r="N210" s="108"/>
      <c r="O210" s="127"/>
    </row>
    <row r="211" spans="1:15">
      <c r="A211" s="107" t="s">
        <v>67</v>
      </c>
      <c r="B211" s="101" t="s">
        <v>766</v>
      </c>
      <c r="C211" s="101" t="s">
        <v>67</v>
      </c>
      <c r="D211" s="101" t="s">
        <v>583</v>
      </c>
      <c r="E211" s="103">
        <v>41</v>
      </c>
      <c r="F211" s="101"/>
      <c r="G211" s="108">
        <v>100</v>
      </c>
      <c r="H211" s="125">
        <v>10</v>
      </c>
      <c r="I211" s="126"/>
      <c r="J211" s="108"/>
      <c r="K211" s="108"/>
      <c r="L211" s="119">
        <v>10</v>
      </c>
      <c r="M211" s="108"/>
      <c r="N211" s="108"/>
      <c r="O211" s="127"/>
    </row>
    <row r="212" spans="1:15">
      <c r="A212" s="104" t="s">
        <v>60</v>
      </c>
      <c r="B212" s="102" t="s">
        <v>767</v>
      </c>
      <c r="C212" s="102" t="s">
        <v>121</v>
      </c>
      <c r="D212" s="102" t="s">
        <v>583</v>
      </c>
      <c r="E212" s="103">
        <v>27</v>
      </c>
      <c r="F212" s="101"/>
      <c r="G212" s="108">
        <v>100</v>
      </c>
      <c r="H212" s="125">
        <v>10</v>
      </c>
      <c r="I212" s="126"/>
      <c r="J212" s="108"/>
      <c r="K212" s="108"/>
      <c r="L212" s="119">
        <v>10</v>
      </c>
      <c r="M212" s="108"/>
      <c r="N212" s="108"/>
      <c r="O212" s="127"/>
    </row>
    <row r="213" spans="1:15">
      <c r="A213" s="104" t="s">
        <v>121</v>
      </c>
      <c r="B213" s="102" t="s">
        <v>767</v>
      </c>
      <c r="C213" s="102" t="s">
        <v>121</v>
      </c>
      <c r="D213" s="102" t="s">
        <v>583</v>
      </c>
      <c r="E213" s="103">
        <v>27</v>
      </c>
      <c r="F213" s="101"/>
      <c r="G213" s="108">
        <v>100</v>
      </c>
      <c r="H213" s="125">
        <v>10</v>
      </c>
      <c r="I213" s="126"/>
      <c r="J213" s="108"/>
      <c r="K213" s="108"/>
      <c r="L213" s="119">
        <v>10</v>
      </c>
      <c r="M213" s="108"/>
      <c r="N213" s="108"/>
      <c r="O213" s="127"/>
    </row>
    <row r="214" spans="1:15">
      <c r="A214" s="104" t="s">
        <v>768</v>
      </c>
      <c r="B214" s="102" t="s">
        <v>769</v>
      </c>
      <c r="C214" s="102" t="s">
        <v>768</v>
      </c>
      <c r="D214" s="102" t="s">
        <v>583</v>
      </c>
      <c r="E214" s="103">
        <v>230</v>
      </c>
      <c r="F214" s="101"/>
      <c r="G214" s="108">
        <v>100</v>
      </c>
      <c r="H214" s="125">
        <v>10</v>
      </c>
      <c r="I214" s="126"/>
      <c r="J214" s="108"/>
      <c r="K214" s="108"/>
      <c r="L214" s="119">
        <v>10</v>
      </c>
      <c r="M214" s="108"/>
      <c r="N214" s="108"/>
      <c r="O214" s="127"/>
    </row>
    <row r="215" spans="1:15">
      <c r="A215" s="104" t="s">
        <v>113</v>
      </c>
      <c r="B215" s="102" t="s">
        <v>770</v>
      </c>
      <c r="C215" s="102" t="s">
        <v>113</v>
      </c>
      <c r="D215" s="102" t="s">
        <v>583</v>
      </c>
      <c r="E215" s="103">
        <v>34</v>
      </c>
      <c r="F215" s="101"/>
      <c r="G215" s="108">
        <v>100</v>
      </c>
      <c r="H215" s="125">
        <v>10</v>
      </c>
      <c r="I215" s="126"/>
      <c r="J215" s="108"/>
      <c r="K215" s="108"/>
      <c r="L215" s="119">
        <v>10</v>
      </c>
      <c r="M215" s="108"/>
      <c r="N215" s="108"/>
      <c r="O215" s="127"/>
    </row>
    <row r="216" spans="1:15">
      <c r="A216" s="104" t="s">
        <v>771</v>
      </c>
      <c r="B216" s="102" t="s">
        <v>772</v>
      </c>
      <c r="C216" s="102" t="s">
        <v>771</v>
      </c>
      <c r="D216" s="102" t="s">
        <v>583</v>
      </c>
      <c r="E216" s="103">
        <v>48</v>
      </c>
      <c r="F216" s="101"/>
      <c r="G216" s="108">
        <v>100</v>
      </c>
      <c r="H216" s="125">
        <v>10</v>
      </c>
      <c r="I216" s="126"/>
      <c r="J216" s="108"/>
      <c r="K216" s="108"/>
      <c r="L216" s="119">
        <v>10</v>
      </c>
      <c r="M216" s="108"/>
      <c r="N216" s="108"/>
      <c r="O216" s="127"/>
    </row>
    <row r="217" spans="1:15">
      <c r="A217" s="104" t="s">
        <v>152</v>
      </c>
      <c r="B217" s="102" t="s">
        <v>773</v>
      </c>
      <c r="C217" s="102" t="s">
        <v>152</v>
      </c>
      <c r="D217" s="102" t="s">
        <v>583</v>
      </c>
      <c r="E217" s="103">
        <v>21</v>
      </c>
      <c r="F217" s="101"/>
      <c r="G217" s="108">
        <v>100</v>
      </c>
      <c r="H217" s="125">
        <v>10</v>
      </c>
      <c r="I217" s="126"/>
      <c r="J217" s="108"/>
      <c r="K217" s="108"/>
      <c r="L217" s="119">
        <v>10</v>
      </c>
      <c r="M217" s="108"/>
      <c r="N217" s="108"/>
      <c r="O217" s="127"/>
    </row>
    <row r="218" spans="1:15">
      <c r="A218" s="104" t="s">
        <v>61</v>
      </c>
      <c r="B218" s="102" t="s">
        <v>774</v>
      </c>
      <c r="C218" s="102" t="s">
        <v>61</v>
      </c>
      <c r="D218" s="102" t="s">
        <v>583</v>
      </c>
      <c r="E218" s="103">
        <v>35</v>
      </c>
      <c r="F218" s="101"/>
      <c r="G218" s="108">
        <v>100</v>
      </c>
      <c r="H218" s="125">
        <v>10</v>
      </c>
      <c r="I218" s="126"/>
      <c r="J218" s="108"/>
      <c r="K218" s="108"/>
      <c r="L218" s="119">
        <v>10</v>
      </c>
      <c r="M218" s="108"/>
      <c r="N218" s="108"/>
      <c r="O218" s="127"/>
    </row>
    <row r="219" spans="1:15">
      <c r="A219" s="104" t="s">
        <v>461</v>
      </c>
      <c r="B219" s="102" t="s">
        <v>775</v>
      </c>
      <c r="C219" s="102" t="s">
        <v>776</v>
      </c>
      <c r="D219" s="102" t="s">
        <v>583</v>
      </c>
      <c r="E219" s="103">
        <v>850</v>
      </c>
      <c r="F219" s="101"/>
      <c r="G219" s="108">
        <v>10</v>
      </c>
      <c r="H219" s="125">
        <v>100</v>
      </c>
      <c r="I219" s="126"/>
      <c r="J219" s="108"/>
      <c r="K219" s="108"/>
      <c r="L219" s="119">
        <v>100</v>
      </c>
      <c r="M219" s="108"/>
      <c r="N219" s="108"/>
      <c r="O219" s="127"/>
    </row>
    <row r="220" spans="1:15">
      <c r="A220" s="104" t="s">
        <v>776</v>
      </c>
      <c r="B220" s="102" t="s">
        <v>775</v>
      </c>
      <c r="C220" s="102" t="s">
        <v>776</v>
      </c>
      <c r="D220" s="102" t="s">
        <v>583</v>
      </c>
      <c r="E220" s="103">
        <v>850</v>
      </c>
      <c r="F220" s="101"/>
      <c r="G220" s="108">
        <v>10</v>
      </c>
      <c r="H220" s="125">
        <v>100</v>
      </c>
      <c r="I220" s="126"/>
      <c r="J220" s="108"/>
      <c r="K220" s="108"/>
      <c r="L220" s="119">
        <v>100</v>
      </c>
      <c r="M220" s="108"/>
      <c r="N220" s="108"/>
      <c r="O220" s="127"/>
    </row>
    <row r="221" spans="1:15">
      <c r="A221" s="104" t="s">
        <v>777</v>
      </c>
      <c r="B221" s="102" t="s">
        <v>778</v>
      </c>
      <c r="C221" s="102" t="s">
        <v>777</v>
      </c>
      <c r="D221" s="102" t="s">
        <v>583</v>
      </c>
      <c r="E221" s="103">
        <v>55</v>
      </c>
      <c r="F221" s="101"/>
      <c r="G221" s="109">
        <v>100</v>
      </c>
      <c r="H221" s="125">
        <v>10</v>
      </c>
      <c r="I221" s="129"/>
      <c r="J221" s="109"/>
      <c r="K221" s="109"/>
      <c r="L221" s="119">
        <v>10</v>
      </c>
      <c r="M221" s="109"/>
      <c r="N221" s="109"/>
      <c r="O221" s="130"/>
    </row>
    <row r="222" spans="1:15">
      <c r="A222" s="104" t="s">
        <v>779</v>
      </c>
      <c r="B222" s="102" t="s">
        <v>780</v>
      </c>
      <c r="C222" s="102" t="s">
        <v>779</v>
      </c>
      <c r="D222" s="102" t="s">
        <v>583</v>
      </c>
      <c r="E222" s="103">
        <v>45</v>
      </c>
      <c r="F222" s="101"/>
      <c r="G222" s="108">
        <v>100</v>
      </c>
      <c r="H222" s="125">
        <v>10</v>
      </c>
      <c r="I222" s="126"/>
      <c r="J222" s="108"/>
      <c r="K222" s="108"/>
      <c r="L222" s="119">
        <v>10</v>
      </c>
      <c r="M222" s="108"/>
      <c r="N222" s="108"/>
      <c r="O222" s="127"/>
    </row>
    <row r="223" spans="1:15">
      <c r="A223" s="104" t="s">
        <v>127</v>
      </c>
      <c r="B223" s="102" t="s">
        <v>781</v>
      </c>
      <c r="C223" s="102" t="s">
        <v>127</v>
      </c>
      <c r="D223" s="102" t="s">
        <v>583</v>
      </c>
      <c r="E223" s="103">
        <v>29.85</v>
      </c>
      <c r="F223" s="101"/>
      <c r="G223" s="108">
        <v>100</v>
      </c>
      <c r="H223" s="125">
        <v>10</v>
      </c>
      <c r="I223" s="126"/>
      <c r="J223" s="108"/>
      <c r="K223" s="108"/>
      <c r="L223" s="119">
        <v>10</v>
      </c>
      <c r="M223" s="108"/>
      <c r="N223" s="108"/>
      <c r="O223" s="127"/>
    </row>
    <row r="224" spans="1:15">
      <c r="A224" s="104" t="s">
        <v>782</v>
      </c>
      <c r="B224" s="102" t="s">
        <v>783</v>
      </c>
      <c r="C224" s="102" t="s">
        <v>782</v>
      </c>
      <c r="D224" s="102" t="s">
        <v>583</v>
      </c>
      <c r="E224" s="103">
        <v>25</v>
      </c>
      <c r="F224" s="101"/>
      <c r="G224" s="108">
        <v>100</v>
      </c>
      <c r="H224" s="125">
        <v>10</v>
      </c>
      <c r="I224" s="126"/>
      <c r="J224" s="108"/>
      <c r="K224" s="108"/>
      <c r="L224" s="119">
        <v>10</v>
      </c>
      <c r="M224" s="108"/>
      <c r="N224" s="108"/>
      <c r="O224" s="127"/>
    </row>
    <row r="225" spans="1:15">
      <c r="A225" s="104" t="s">
        <v>108</v>
      </c>
      <c r="B225" s="102" t="s">
        <v>784</v>
      </c>
      <c r="C225" s="102" t="s">
        <v>108</v>
      </c>
      <c r="D225" s="102" t="s">
        <v>583</v>
      </c>
      <c r="E225" s="103">
        <v>110</v>
      </c>
      <c r="F225" s="101"/>
      <c r="G225" s="109">
        <v>100</v>
      </c>
      <c r="H225" s="125">
        <v>10</v>
      </c>
      <c r="I225" s="129"/>
      <c r="J225" s="109"/>
      <c r="K225" s="109"/>
      <c r="L225" s="119">
        <v>10</v>
      </c>
      <c r="M225" s="109"/>
      <c r="N225" s="109"/>
      <c r="O225" s="130"/>
    </row>
    <row r="226" spans="1:15">
      <c r="A226" s="104" t="s">
        <v>785</v>
      </c>
      <c r="B226" s="102" t="s">
        <v>786</v>
      </c>
      <c r="C226" s="102" t="s">
        <v>785</v>
      </c>
      <c r="D226" s="102" t="s">
        <v>583</v>
      </c>
      <c r="E226" s="103">
        <v>23</v>
      </c>
      <c r="F226" s="101"/>
      <c r="G226" s="108">
        <v>100</v>
      </c>
      <c r="H226" s="125">
        <v>10</v>
      </c>
      <c r="I226" s="126"/>
      <c r="J226" s="108"/>
      <c r="K226" s="108"/>
      <c r="L226" s="119">
        <v>10</v>
      </c>
      <c r="M226" s="108"/>
      <c r="N226" s="108"/>
      <c r="O226" s="127"/>
    </row>
    <row r="227" spans="1:15">
      <c r="A227" s="104" t="s">
        <v>330</v>
      </c>
      <c r="B227" s="102" t="s">
        <v>787</v>
      </c>
      <c r="C227" s="102" t="s">
        <v>331</v>
      </c>
      <c r="D227" s="102" t="s">
        <v>583</v>
      </c>
      <c r="E227" s="103">
        <v>90</v>
      </c>
      <c r="F227" s="101"/>
      <c r="G227" s="108">
        <v>100</v>
      </c>
      <c r="H227" s="125">
        <v>10</v>
      </c>
      <c r="I227" s="126"/>
      <c r="J227" s="108"/>
      <c r="K227" s="108"/>
      <c r="L227" s="119">
        <v>10</v>
      </c>
      <c r="M227" s="108"/>
      <c r="N227" s="108"/>
      <c r="O227" s="127"/>
    </row>
    <row r="228" spans="1:15">
      <c r="A228" s="104" t="s">
        <v>788</v>
      </c>
      <c r="B228" s="102"/>
      <c r="C228" s="102" t="s">
        <v>789</v>
      </c>
      <c r="D228" s="102" t="s">
        <v>583</v>
      </c>
      <c r="E228" s="103">
        <v>90</v>
      </c>
      <c r="F228" s="101"/>
      <c r="G228" s="108">
        <v>100</v>
      </c>
      <c r="H228" s="125">
        <v>10</v>
      </c>
      <c r="I228" s="126"/>
      <c r="J228" s="108"/>
      <c r="K228" s="108"/>
      <c r="L228" s="119">
        <v>10</v>
      </c>
      <c r="M228" s="108"/>
      <c r="N228" s="108"/>
      <c r="O228" s="127"/>
    </row>
    <row r="229" spans="1:15">
      <c r="A229" s="104" t="s">
        <v>331</v>
      </c>
      <c r="B229" s="102" t="s">
        <v>787</v>
      </c>
      <c r="C229" s="102" t="s">
        <v>331</v>
      </c>
      <c r="D229" s="102" t="s">
        <v>583</v>
      </c>
      <c r="E229" s="103">
        <v>90</v>
      </c>
      <c r="F229" s="101"/>
      <c r="G229" s="108">
        <v>100</v>
      </c>
      <c r="H229" s="125">
        <v>10</v>
      </c>
      <c r="I229" s="126"/>
      <c r="J229" s="108"/>
      <c r="K229" s="108"/>
      <c r="L229" s="119">
        <v>10</v>
      </c>
      <c r="M229" s="108"/>
      <c r="N229" s="108"/>
      <c r="O229" s="127"/>
    </row>
    <row r="230" spans="1:15">
      <c r="A230" s="107" t="s">
        <v>445</v>
      </c>
      <c r="B230" s="101" t="s">
        <v>787</v>
      </c>
      <c r="C230" s="101" t="s">
        <v>328</v>
      </c>
      <c r="D230" s="101" t="s">
        <v>583</v>
      </c>
      <c r="E230" s="103">
        <v>90</v>
      </c>
      <c r="F230" s="101"/>
      <c r="G230" s="108">
        <v>100</v>
      </c>
      <c r="H230" s="125">
        <v>10</v>
      </c>
      <c r="I230" s="126"/>
      <c r="J230" s="108"/>
      <c r="K230" s="108"/>
      <c r="L230" s="119">
        <v>10</v>
      </c>
      <c r="M230" s="108"/>
      <c r="N230" s="108"/>
      <c r="O230" s="127"/>
    </row>
    <row r="231" spans="1:15">
      <c r="A231" s="107" t="s">
        <v>328</v>
      </c>
      <c r="B231" s="101" t="s">
        <v>787</v>
      </c>
      <c r="C231" s="101" t="s">
        <v>328</v>
      </c>
      <c r="D231" s="101" t="s">
        <v>583</v>
      </c>
      <c r="E231" s="103">
        <v>90</v>
      </c>
      <c r="F231" s="101"/>
      <c r="G231" s="108">
        <v>100</v>
      </c>
      <c r="H231" s="125">
        <v>10</v>
      </c>
      <c r="I231" s="126"/>
      <c r="J231" s="108"/>
      <c r="K231" s="108"/>
      <c r="L231" s="119">
        <v>10</v>
      </c>
      <c r="M231" s="108"/>
      <c r="N231" s="108"/>
      <c r="O231" s="127"/>
    </row>
    <row r="232" spans="1:15">
      <c r="A232" s="104" t="s">
        <v>790</v>
      </c>
      <c r="B232" s="102" t="s">
        <v>791</v>
      </c>
      <c r="C232" s="102" t="s">
        <v>792</v>
      </c>
      <c r="D232" s="102" t="s">
        <v>583</v>
      </c>
      <c r="E232" s="103">
        <v>28</v>
      </c>
      <c r="F232" s="101"/>
      <c r="G232" s="108">
        <v>100</v>
      </c>
      <c r="H232" s="125">
        <v>10</v>
      </c>
      <c r="I232" s="126"/>
      <c r="J232" s="108"/>
      <c r="K232" s="108"/>
      <c r="L232" s="119">
        <v>10</v>
      </c>
      <c r="M232" s="108"/>
      <c r="N232" s="108"/>
      <c r="O232" s="127"/>
    </row>
    <row r="233" spans="1:15">
      <c r="A233" s="104" t="s">
        <v>355</v>
      </c>
      <c r="B233" s="102" t="s">
        <v>791</v>
      </c>
      <c r="C233" s="102" t="s">
        <v>792</v>
      </c>
      <c r="D233" s="102" t="s">
        <v>583</v>
      </c>
      <c r="E233" s="103">
        <v>28</v>
      </c>
      <c r="F233" s="101"/>
      <c r="G233" s="108">
        <v>100</v>
      </c>
      <c r="H233" s="125">
        <v>10</v>
      </c>
      <c r="I233" s="126"/>
      <c r="J233" s="108"/>
      <c r="K233" s="108"/>
      <c r="L233" s="119">
        <v>10</v>
      </c>
      <c r="M233" s="108"/>
      <c r="N233" s="108"/>
      <c r="O233" s="127"/>
    </row>
    <row r="234" spans="1:15">
      <c r="A234" s="104" t="s">
        <v>792</v>
      </c>
      <c r="B234" s="102" t="s">
        <v>791</v>
      </c>
      <c r="C234" s="102" t="s">
        <v>792</v>
      </c>
      <c r="D234" s="102" t="s">
        <v>583</v>
      </c>
      <c r="E234" s="103">
        <v>28</v>
      </c>
      <c r="F234" s="101"/>
      <c r="G234" s="108">
        <v>100</v>
      </c>
      <c r="H234" s="125">
        <v>10</v>
      </c>
      <c r="I234" s="126"/>
      <c r="J234" s="108"/>
      <c r="K234" s="108"/>
      <c r="L234" s="119">
        <v>10</v>
      </c>
      <c r="M234" s="108"/>
      <c r="N234" s="108"/>
      <c r="O234" s="127"/>
    </row>
    <row r="235" spans="1:15">
      <c r="A235" s="104" t="s">
        <v>793</v>
      </c>
      <c r="B235" s="102" t="s">
        <v>794</v>
      </c>
      <c r="C235" s="102" t="s">
        <v>793</v>
      </c>
      <c r="D235" s="102" t="s">
        <v>583</v>
      </c>
      <c r="E235" s="103">
        <v>51</v>
      </c>
      <c r="F235" s="101"/>
      <c r="G235" s="108">
        <v>100</v>
      </c>
      <c r="H235" s="125">
        <v>10</v>
      </c>
      <c r="I235" s="126"/>
      <c r="J235" s="108"/>
      <c r="K235" s="108"/>
      <c r="L235" s="119">
        <v>10</v>
      </c>
      <c r="M235" s="108"/>
      <c r="N235" s="108"/>
      <c r="O235" s="127"/>
    </row>
    <row r="236" spans="1:15">
      <c r="A236" s="104" t="s">
        <v>341</v>
      </c>
      <c r="B236" s="102" t="s">
        <v>795</v>
      </c>
      <c r="C236" s="102" t="s">
        <v>341</v>
      </c>
      <c r="D236" s="102" t="s">
        <v>583</v>
      </c>
      <c r="E236" s="103">
        <v>55</v>
      </c>
      <c r="F236" s="101"/>
      <c r="G236" s="108">
        <v>100</v>
      </c>
      <c r="H236" s="125">
        <v>10</v>
      </c>
      <c r="I236" s="126"/>
      <c r="J236" s="108"/>
      <c r="K236" s="108"/>
      <c r="L236" s="119">
        <v>10</v>
      </c>
      <c r="M236" s="108"/>
      <c r="N236" s="108"/>
      <c r="O236" s="127"/>
    </row>
    <row r="237" spans="1:15">
      <c r="A237" s="104" t="s">
        <v>366</v>
      </c>
      <c r="B237" s="102" t="s">
        <v>796</v>
      </c>
      <c r="C237" s="102" t="s">
        <v>366</v>
      </c>
      <c r="D237" s="102" t="s">
        <v>583</v>
      </c>
      <c r="E237" s="103">
        <v>49.5</v>
      </c>
      <c r="F237" s="101"/>
      <c r="G237" s="108">
        <v>100</v>
      </c>
      <c r="H237" s="125">
        <v>10</v>
      </c>
      <c r="I237" s="126"/>
      <c r="J237" s="108"/>
      <c r="K237" s="108"/>
      <c r="L237" s="119">
        <v>10</v>
      </c>
      <c r="M237" s="108"/>
      <c r="N237" s="108"/>
      <c r="O237" s="127"/>
    </row>
    <row r="238" spans="1:15">
      <c r="A238" s="104" t="s">
        <v>318</v>
      </c>
      <c r="B238" s="102" t="s">
        <v>797</v>
      </c>
      <c r="C238" s="102" t="s">
        <v>318</v>
      </c>
      <c r="D238" s="102" t="s">
        <v>583</v>
      </c>
      <c r="E238" s="103">
        <v>29</v>
      </c>
      <c r="F238" s="101"/>
      <c r="G238" s="108">
        <v>100</v>
      </c>
      <c r="H238" s="125">
        <v>10</v>
      </c>
      <c r="I238" s="126"/>
      <c r="J238" s="108"/>
      <c r="K238" s="108"/>
      <c r="L238" s="119">
        <v>10</v>
      </c>
      <c r="M238" s="108"/>
      <c r="N238" s="108"/>
      <c r="O238" s="127"/>
    </row>
    <row r="239" spans="1:15">
      <c r="A239" s="104" t="s">
        <v>798</v>
      </c>
      <c r="B239" s="101" t="s">
        <v>799</v>
      </c>
      <c r="C239" s="102" t="s">
        <v>798</v>
      </c>
      <c r="D239" s="102" t="s">
        <v>583</v>
      </c>
      <c r="E239" s="103">
        <v>108</v>
      </c>
      <c r="F239" s="101"/>
      <c r="G239" s="108">
        <v>100</v>
      </c>
      <c r="H239" s="125">
        <v>10</v>
      </c>
      <c r="I239" s="126"/>
      <c r="J239" s="108"/>
      <c r="K239" s="108"/>
      <c r="L239" s="119">
        <v>10</v>
      </c>
      <c r="M239" s="108"/>
      <c r="N239" s="108"/>
      <c r="O239" s="127"/>
    </row>
    <row r="240" spans="1:15">
      <c r="A240" s="104" t="s">
        <v>346</v>
      </c>
      <c r="B240" s="101" t="s">
        <v>800</v>
      </c>
      <c r="C240" s="102" t="s">
        <v>346</v>
      </c>
      <c r="D240" s="102" t="s">
        <v>583</v>
      </c>
      <c r="E240" s="103">
        <v>63</v>
      </c>
      <c r="F240" s="101"/>
      <c r="G240" s="108">
        <v>100</v>
      </c>
      <c r="H240" s="125">
        <v>10</v>
      </c>
      <c r="I240" s="126"/>
      <c r="J240" s="108"/>
      <c r="K240" s="108"/>
      <c r="L240" s="119">
        <v>10</v>
      </c>
      <c r="M240" s="108"/>
      <c r="N240" s="108"/>
      <c r="O240" s="127"/>
    </row>
    <row r="241" spans="1:15">
      <c r="A241" s="104" t="s">
        <v>111</v>
      </c>
      <c r="B241" s="102" t="s">
        <v>801</v>
      </c>
      <c r="C241" s="102" t="s">
        <v>111</v>
      </c>
      <c r="D241" s="102" t="s">
        <v>583</v>
      </c>
      <c r="E241" s="103">
        <v>80</v>
      </c>
      <c r="F241" s="101"/>
      <c r="G241" s="108">
        <v>100</v>
      </c>
      <c r="H241" s="125">
        <v>10</v>
      </c>
      <c r="I241" s="126"/>
      <c r="J241" s="108"/>
      <c r="K241" s="108"/>
      <c r="L241" s="119">
        <v>10</v>
      </c>
      <c r="M241" s="108"/>
      <c r="N241" s="108"/>
      <c r="O241" s="127"/>
    </row>
    <row r="242" spans="1:15">
      <c r="A242" s="104" t="s">
        <v>802</v>
      </c>
      <c r="B242" s="102" t="s">
        <v>803</v>
      </c>
      <c r="C242" s="102" t="s">
        <v>802</v>
      </c>
      <c r="D242" s="102" t="s">
        <v>583</v>
      </c>
      <c r="E242" s="103">
        <v>63</v>
      </c>
      <c r="F242" s="101"/>
      <c r="G242" s="108">
        <v>100</v>
      </c>
      <c r="H242" s="125">
        <v>10</v>
      </c>
      <c r="I242" s="126"/>
      <c r="J242" s="108"/>
      <c r="K242" s="108"/>
      <c r="L242" s="119">
        <v>10</v>
      </c>
      <c r="M242" s="108"/>
      <c r="N242" s="108"/>
      <c r="O242" s="127"/>
    </row>
    <row r="243" spans="1:15">
      <c r="A243" s="104" t="s">
        <v>804</v>
      </c>
      <c r="B243" s="102" t="s">
        <v>805</v>
      </c>
      <c r="C243" s="102" t="s">
        <v>804</v>
      </c>
      <c r="D243" s="102" t="s">
        <v>583</v>
      </c>
      <c r="E243" s="103">
        <v>44</v>
      </c>
      <c r="F243" s="101"/>
      <c r="G243" s="108">
        <v>100</v>
      </c>
      <c r="H243" s="125">
        <v>10</v>
      </c>
      <c r="I243" s="126"/>
      <c r="J243" s="108"/>
      <c r="K243" s="108"/>
      <c r="L243" s="119">
        <v>10</v>
      </c>
      <c r="M243" s="108"/>
      <c r="N243" s="108"/>
      <c r="O243" s="127"/>
    </row>
    <row r="244" spans="1:15">
      <c r="A244" s="104" t="s">
        <v>362</v>
      </c>
      <c r="B244" s="102" t="s">
        <v>806</v>
      </c>
      <c r="C244" s="102" t="s">
        <v>362</v>
      </c>
      <c r="D244" s="102" t="s">
        <v>583</v>
      </c>
      <c r="E244" s="103">
        <v>29</v>
      </c>
      <c r="F244" s="101"/>
      <c r="G244" s="108">
        <v>100</v>
      </c>
      <c r="H244" s="125">
        <v>10</v>
      </c>
      <c r="I244" s="126"/>
      <c r="J244" s="108"/>
      <c r="K244" s="108"/>
      <c r="L244" s="119">
        <v>10</v>
      </c>
      <c r="M244" s="108"/>
      <c r="N244" s="108"/>
      <c r="O244" s="127"/>
    </row>
    <row r="245" spans="1:15">
      <c r="A245" s="104" t="s">
        <v>170</v>
      </c>
      <c r="B245" s="102" t="s">
        <v>807</v>
      </c>
      <c r="C245" s="102" t="s">
        <v>170</v>
      </c>
      <c r="D245" s="102" t="s">
        <v>583</v>
      </c>
      <c r="E245" s="103">
        <v>110</v>
      </c>
      <c r="F245" s="101"/>
      <c r="G245" s="108">
        <v>100</v>
      </c>
      <c r="H245" s="125">
        <v>10</v>
      </c>
      <c r="I245" s="126"/>
      <c r="J245" s="108"/>
      <c r="K245" s="108"/>
      <c r="L245" s="119">
        <v>10</v>
      </c>
      <c r="M245" s="108"/>
      <c r="N245" s="108"/>
      <c r="O245" s="127"/>
    </row>
    <row r="246" spans="1:15">
      <c r="A246" s="107" t="s">
        <v>115</v>
      </c>
      <c r="B246" s="101" t="s">
        <v>808</v>
      </c>
      <c r="C246" s="101" t="s">
        <v>115</v>
      </c>
      <c r="D246" s="101" t="s">
        <v>583</v>
      </c>
      <c r="E246" s="103">
        <v>71</v>
      </c>
      <c r="F246" s="101"/>
      <c r="G246" s="108">
        <v>100</v>
      </c>
      <c r="H246" s="125">
        <v>10</v>
      </c>
      <c r="I246" s="126"/>
      <c r="J246" s="108"/>
      <c r="K246" s="108"/>
      <c r="L246" s="119">
        <v>10</v>
      </c>
      <c r="M246" s="108"/>
      <c r="N246" s="108"/>
      <c r="O246" s="127"/>
    </row>
    <row r="247" spans="1:15">
      <c r="A247" s="104" t="s">
        <v>809</v>
      </c>
      <c r="B247" s="102" t="s">
        <v>810</v>
      </c>
      <c r="C247" s="102" t="s">
        <v>811</v>
      </c>
      <c r="D247" s="102" t="s">
        <v>583</v>
      </c>
      <c r="E247" s="103">
        <v>29</v>
      </c>
      <c r="F247" s="101"/>
      <c r="G247" s="108">
        <v>100</v>
      </c>
      <c r="H247" s="125">
        <v>10</v>
      </c>
      <c r="I247" s="126"/>
      <c r="J247" s="108"/>
      <c r="K247" s="108"/>
      <c r="L247" s="119">
        <v>10</v>
      </c>
      <c r="M247" s="108"/>
      <c r="N247" s="108"/>
      <c r="O247" s="127"/>
    </row>
    <row r="248" spans="1:15">
      <c r="A248" s="104" t="s">
        <v>440</v>
      </c>
      <c r="B248" s="102" t="s">
        <v>812</v>
      </c>
      <c r="C248" s="102" t="s">
        <v>440</v>
      </c>
      <c r="D248" s="102" t="s">
        <v>583</v>
      </c>
      <c r="E248" s="103">
        <v>71</v>
      </c>
      <c r="F248" s="101"/>
      <c r="G248" s="108">
        <v>100</v>
      </c>
      <c r="H248" s="125">
        <v>10</v>
      </c>
      <c r="I248" s="126"/>
      <c r="J248" s="108"/>
      <c r="K248" s="108"/>
      <c r="L248" s="119">
        <v>10</v>
      </c>
      <c r="M248" s="108"/>
      <c r="N248" s="108"/>
      <c r="O248" s="127"/>
    </row>
    <row r="249" spans="1:15">
      <c r="A249" s="104" t="s">
        <v>813</v>
      </c>
      <c r="B249" s="102" t="s">
        <v>814</v>
      </c>
      <c r="C249" s="102" t="s">
        <v>813</v>
      </c>
      <c r="D249" s="102" t="s">
        <v>583</v>
      </c>
      <c r="E249" s="103">
        <v>68</v>
      </c>
      <c r="F249" s="101"/>
      <c r="G249" s="108">
        <v>100</v>
      </c>
      <c r="H249" s="125">
        <v>10</v>
      </c>
      <c r="I249" s="126"/>
      <c r="J249" s="108"/>
      <c r="K249" s="108"/>
      <c r="L249" s="119">
        <v>10</v>
      </c>
      <c r="M249" s="108"/>
      <c r="N249" s="108"/>
      <c r="O249" s="127"/>
    </row>
    <row r="250" spans="1:15">
      <c r="A250" s="104" t="s">
        <v>293</v>
      </c>
      <c r="B250" s="102" t="s">
        <v>815</v>
      </c>
      <c r="C250" s="102" t="s">
        <v>293</v>
      </c>
      <c r="D250" s="102" t="s">
        <v>583</v>
      </c>
      <c r="E250" s="103">
        <v>140</v>
      </c>
      <c r="F250" s="101"/>
      <c r="G250" s="108">
        <v>100</v>
      </c>
      <c r="H250" s="125">
        <v>10</v>
      </c>
      <c r="I250" s="126"/>
      <c r="J250" s="108"/>
      <c r="K250" s="108"/>
      <c r="L250" s="119">
        <v>10</v>
      </c>
      <c r="M250" s="108"/>
      <c r="N250" s="108"/>
      <c r="O250" s="127"/>
    </row>
    <row r="251" spans="1:15">
      <c r="A251" s="104" t="s">
        <v>816</v>
      </c>
      <c r="B251" s="102" t="s">
        <v>817</v>
      </c>
      <c r="C251" s="102" t="s">
        <v>816</v>
      </c>
      <c r="D251" s="102" t="s">
        <v>583</v>
      </c>
      <c r="E251" s="103">
        <v>38</v>
      </c>
      <c r="F251" s="101"/>
      <c r="G251" s="108">
        <v>100</v>
      </c>
      <c r="H251" s="125">
        <v>10</v>
      </c>
      <c r="I251" s="126"/>
      <c r="J251" s="108"/>
      <c r="K251" s="108"/>
      <c r="L251" s="119">
        <v>10</v>
      </c>
      <c r="M251" s="108"/>
      <c r="N251" s="108"/>
      <c r="O251" s="127"/>
    </row>
    <row r="252" spans="1:15">
      <c r="A252" s="104" t="s">
        <v>818</v>
      </c>
      <c r="B252" s="102" t="s">
        <v>819</v>
      </c>
      <c r="C252" s="102" t="s">
        <v>818</v>
      </c>
      <c r="D252" s="102" t="s">
        <v>583</v>
      </c>
      <c r="E252" s="103">
        <v>280</v>
      </c>
      <c r="F252" s="101"/>
      <c r="G252" s="108">
        <v>100</v>
      </c>
      <c r="H252" s="125">
        <v>10</v>
      </c>
      <c r="I252" s="126"/>
      <c r="J252" s="108"/>
      <c r="K252" s="108"/>
      <c r="L252" s="119">
        <v>10</v>
      </c>
      <c r="M252" s="108"/>
      <c r="N252" s="108"/>
      <c r="O252" s="127"/>
    </row>
    <row r="253" spans="1:15">
      <c r="A253" s="104" t="s">
        <v>337</v>
      </c>
      <c r="B253" s="102" t="s">
        <v>820</v>
      </c>
      <c r="C253" s="102" t="s">
        <v>337</v>
      </c>
      <c r="D253" s="102" t="s">
        <v>583</v>
      </c>
      <c r="E253" s="103">
        <v>30</v>
      </c>
      <c r="F253" s="101"/>
      <c r="G253" s="108">
        <v>100</v>
      </c>
      <c r="H253" s="125">
        <v>10</v>
      </c>
      <c r="I253" s="126"/>
      <c r="J253" s="108"/>
      <c r="K253" s="108"/>
      <c r="L253" s="119">
        <v>10</v>
      </c>
      <c r="M253" s="108"/>
      <c r="N253" s="108"/>
      <c r="O253" s="127"/>
    </row>
    <row r="254" spans="1:15">
      <c r="A254" s="104" t="s">
        <v>312</v>
      </c>
      <c r="B254" s="102" t="s">
        <v>821</v>
      </c>
      <c r="C254" s="102" t="s">
        <v>312</v>
      </c>
      <c r="D254" s="102" t="s">
        <v>583</v>
      </c>
      <c r="E254" s="103">
        <v>103</v>
      </c>
      <c r="F254" s="101"/>
      <c r="G254" s="108">
        <v>100</v>
      </c>
      <c r="H254" s="125">
        <v>10</v>
      </c>
      <c r="I254" s="126"/>
      <c r="J254" s="108"/>
      <c r="K254" s="108"/>
      <c r="L254" s="119">
        <v>10</v>
      </c>
      <c r="M254" s="108"/>
      <c r="N254" s="108"/>
      <c r="O254" s="127"/>
    </row>
    <row r="255" spans="1:15">
      <c r="A255" s="104" t="s">
        <v>822</v>
      </c>
      <c r="B255" s="102" t="s">
        <v>823</v>
      </c>
      <c r="C255" s="102" t="s">
        <v>822</v>
      </c>
      <c r="D255" s="102" t="s">
        <v>583</v>
      </c>
      <c r="E255" s="103">
        <v>70</v>
      </c>
      <c r="F255" s="101"/>
      <c r="G255" s="108">
        <v>100</v>
      </c>
      <c r="H255" s="125">
        <v>10</v>
      </c>
      <c r="I255" s="126"/>
      <c r="J255" s="108"/>
      <c r="K255" s="108"/>
      <c r="L255" s="119">
        <v>10</v>
      </c>
      <c r="M255" s="108"/>
      <c r="N255" s="108"/>
      <c r="O255" s="127"/>
    </row>
    <row r="256" spans="1:15">
      <c r="A256" s="104" t="s">
        <v>824</v>
      </c>
      <c r="B256" s="102" t="s">
        <v>825</v>
      </c>
      <c r="C256" s="102" t="s">
        <v>826</v>
      </c>
      <c r="D256" s="102" t="s">
        <v>583</v>
      </c>
      <c r="E256" s="103">
        <v>150</v>
      </c>
      <c r="F256" s="101"/>
      <c r="G256" s="108">
        <v>100</v>
      </c>
      <c r="H256" s="125">
        <v>10</v>
      </c>
      <c r="I256" s="126"/>
      <c r="J256" s="108"/>
      <c r="K256" s="108"/>
      <c r="L256" s="119">
        <v>10</v>
      </c>
      <c r="M256" s="108"/>
      <c r="N256" s="108"/>
      <c r="O256" s="127"/>
    </row>
    <row r="257" spans="1:15">
      <c r="A257" s="104" t="s">
        <v>826</v>
      </c>
      <c r="B257" s="102" t="s">
        <v>825</v>
      </c>
      <c r="C257" s="102" t="s">
        <v>826</v>
      </c>
      <c r="D257" s="102" t="s">
        <v>583</v>
      </c>
      <c r="E257" s="103">
        <v>150</v>
      </c>
      <c r="F257" s="101"/>
      <c r="G257" s="108">
        <v>100</v>
      </c>
      <c r="H257" s="125">
        <v>10</v>
      </c>
      <c r="I257" s="126"/>
      <c r="J257" s="108"/>
      <c r="K257" s="108"/>
      <c r="L257" s="119">
        <v>10</v>
      </c>
      <c r="M257" s="108"/>
      <c r="N257" s="108"/>
      <c r="O257" s="127"/>
    </row>
    <row r="258" spans="1:15">
      <c r="A258" s="104" t="s">
        <v>320</v>
      </c>
      <c r="B258" s="102" t="s">
        <v>827</v>
      </c>
      <c r="C258" s="102" t="s">
        <v>320</v>
      </c>
      <c r="D258" s="102" t="s">
        <v>583</v>
      </c>
      <c r="E258" s="103">
        <v>113</v>
      </c>
      <c r="F258" s="101"/>
      <c r="G258" s="108">
        <v>100</v>
      </c>
      <c r="H258" s="125">
        <v>10</v>
      </c>
      <c r="I258" s="126"/>
      <c r="J258" s="108"/>
      <c r="K258" s="108"/>
      <c r="L258" s="119">
        <v>10</v>
      </c>
      <c r="M258" s="108"/>
      <c r="N258" s="108"/>
      <c r="O258" s="127"/>
    </row>
    <row r="259" spans="1:15">
      <c r="A259" s="104" t="s">
        <v>828</v>
      </c>
      <c r="B259" s="102" t="s">
        <v>829</v>
      </c>
      <c r="C259" s="102" t="s">
        <v>830</v>
      </c>
      <c r="D259" s="102" t="s">
        <v>583</v>
      </c>
      <c r="E259" s="103">
        <v>148</v>
      </c>
      <c r="F259" s="101"/>
      <c r="G259" s="108">
        <v>100</v>
      </c>
      <c r="H259" s="125">
        <v>10</v>
      </c>
      <c r="I259" s="126"/>
      <c r="J259" s="108"/>
      <c r="K259" s="108"/>
      <c r="L259" s="119">
        <v>10</v>
      </c>
      <c r="M259" s="108"/>
      <c r="N259" s="108"/>
      <c r="O259" s="127"/>
    </row>
    <row r="260" spans="1:15">
      <c r="A260" s="104" t="s">
        <v>831</v>
      </c>
      <c r="B260" s="102" t="s">
        <v>829</v>
      </c>
      <c r="C260" s="102" t="s">
        <v>830</v>
      </c>
      <c r="D260" s="102" t="s">
        <v>583</v>
      </c>
      <c r="E260" s="103">
        <v>148</v>
      </c>
      <c r="F260" s="101"/>
      <c r="G260" s="108">
        <v>100</v>
      </c>
      <c r="H260" s="125">
        <v>10</v>
      </c>
      <c r="I260" s="126"/>
      <c r="J260" s="108"/>
      <c r="K260" s="108"/>
      <c r="L260" s="119">
        <v>10</v>
      </c>
      <c r="M260" s="108"/>
      <c r="N260" s="108"/>
      <c r="O260" s="127"/>
    </row>
    <row r="261" spans="1:15">
      <c r="A261" s="104" t="s">
        <v>830</v>
      </c>
      <c r="B261" s="102" t="s">
        <v>829</v>
      </c>
      <c r="C261" s="102" t="s">
        <v>830</v>
      </c>
      <c r="D261" s="102" t="s">
        <v>583</v>
      </c>
      <c r="E261" s="103">
        <v>148</v>
      </c>
      <c r="F261" s="101"/>
      <c r="G261" s="108">
        <v>100</v>
      </c>
      <c r="H261" s="125">
        <v>10</v>
      </c>
      <c r="I261" s="126"/>
      <c r="J261" s="108"/>
      <c r="K261" s="108"/>
      <c r="L261" s="119">
        <v>10</v>
      </c>
      <c r="M261" s="108"/>
      <c r="N261" s="108"/>
      <c r="O261" s="127"/>
    </row>
    <row r="262" spans="1:15">
      <c r="A262" s="104" t="s">
        <v>832</v>
      </c>
      <c r="B262" s="101" t="s">
        <v>833</v>
      </c>
      <c r="C262" s="102" t="s">
        <v>832</v>
      </c>
      <c r="D262" s="102" t="s">
        <v>583</v>
      </c>
      <c r="E262" s="103">
        <v>140</v>
      </c>
      <c r="F262" s="101"/>
      <c r="G262" s="108">
        <v>100</v>
      </c>
      <c r="H262" s="125">
        <v>10</v>
      </c>
      <c r="I262" s="126"/>
      <c r="J262" s="108"/>
      <c r="K262" s="108"/>
      <c r="L262" s="119">
        <v>10</v>
      </c>
      <c r="M262" s="108"/>
      <c r="N262" s="108"/>
      <c r="O262" s="127"/>
    </row>
    <row r="263" spans="1:15">
      <c r="A263" s="107" t="s">
        <v>834</v>
      </c>
      <c r="B263" s="101" t="s">
        <v>835</v>
      </c>
      <c r="C263" s="101" t="s">
        <v>834</v>
      </c>
      <c r="D263" s="101" t="s">
        <v>583</v>
      </c>
      <c r="E263" s="103">
        <v>300</v>
      </c>
      <c r="F263" s="101"/>
      <c r="G263" s="108">
        <v>100</v>
      </c>
      <c r="H263" s="125">
        <v>10</v>
      </c>
      <c r="I263" s="126"/>
      <c r="J263" s="108"/>
      <c r="K263" s="108"/>
      <c r="L263" s="119">
        <v>10</v>
      </c>
      <c r="M263" s="108"/>
      <c r="N263" s="108"/>
      <c r="O263" s="127"/>
    </row>
    <row r="264" spans="1:15">
      <c r="A264" s="104" t="s">
        <v>292</v>
      </c>
      <c r="B264" s="101" t="s">
        <v>836</v>
      </c>
      <c r="C264" s="102" t="s">
        <v>292</v>
      </c>
      <c r="D264" s="102" t="s">
        <v>583</v>
      </c>
      <c r="E264" s="103">
        <v>200</v>
      </c>
      <c r="F264" s="101"/>
      <c r="G264" s="108">
        <v>100</v>
      </c>
      <c r="H264" s="125">
        <v>10</v>
      </c>
      <c r="I264" s="126"/>
      <c r="J264" s="108"/>
      <c r="K264" s="108"/>
      <c r="L264" s="119">
        <v>10</v>
      </c>
      <c r="M264" s="108"/>
      <c r="N264" s="108"/>
      <c r="O264" s="127"/>
    </row>
    <row r="265" spans="1:15">
      <c r="A265" s="104" t="s">
        <v>837</v>
      </c>
      <c r="B265" s="101" t="s">
        <v>838</v>
      </c>
      <c r="C265" s="102" t="s">
        <v>837</v>
      </c>
      <c r="D265" s="102" t="s">
        <v>583</v>
      </c>
      <c r="E265" s="103">
        <v>78</v>
      </c>
      <c r="F265" s="101"/>
      <c r="G265" s="108">
        <v>100</v>
      </c>
      <c r="H265" s="125">
        <v>10</v>
      </c>
      <c r="I265" s="126"/>
      <c r="J265" s="108"/>
      <c r="K265" s="108"/>
      <c r="L265" s="119">
        <v>10</v>
      </c>
      <c r="M265" s="108"/>
      <c r="N265" s="108"/>
      <c r="O265" s="127"/>
    </row>
    <row r="266" spans="1:15">
      <c r="A266" s="104" t="s">
        <v>839</v>
      </c>
      <c r="B266" s="102" t="s">
        <v>840</v>
      </c>
      <c r="C266" s="102" t="s">
        <v>839</v>
      </c>
      <c r="D266" s="102" t="s">
        <v>583</v>
      </c>
      <c r="E266" s="103">
        <v>30</v>
      </c>
      <c r="F266" s="101"/>
      <c r="G266" s="108">
        <v>100</v>
      </c>
      <c r="H266" s="125">
        <v>10</v>
      </c>
      <c r="I266" s="126"/>
      <c r="J266" s="108"/>
      <c r="K266" s="108"/>
      <c r="L266" s="119">
        <v>10</v>
      </c>
      <c r="M266" s="108"/>
      <c r="N266" s="108"/>
      <c r="O266" s="127"/>
    </row>
    <row r="267" spans="1:15">
      <c r="A267" s="104" t="s">
        <v>336</v>
      </c>
      <c r="B267" s="102" t="s">
        <v>841</v>
      </c>
      <c r="C267" s="102" t="s">
        <v>336</v>
      </c>
      <c r="D267" s="102" t="s">
        <v>583</v>
      </c>
      <c r="E267" s="103">
        <v>101.85</v>
      </c>
      <c r="F267" s="101"/>
      <c r="G267" s="108">
        <v>100</v>
      </c>
      <c r="H267" s="125">
        <v>10</v>
      </c>
      <c r="I267" s="126"/>
      <c r="J267" s="108"/>
      <c r="K267" s="108"/>
      <c r="L267" s="119">
        <v>10</v>
      </c>
      <c r="M267" s="108"/>
      <c r="N267" s="108"/>
      <c r="O267" s="127"/>
    </row>
    <row r="268" spans="1:15">
      <c r="A268" s="104" t="s">
        <v>842</v>
      </c>
      <c r="B268" s="101" t="s">
        <v>843</v>
      </c>
      <c r="C268" s="102" t="s">
        <v>842</v>
      </c>
      <c r="D268" s="102" t="s">
        <v>583</v>
      </c>
      <c r="E268" s="103">
        <v>86.67</v>
      </c>
      <c r="F268" s="101"/>
      <c r="G268" s="108">
        <v>100</v>
      </c>
      <c r="H268" s="125">
        <v>10</v>
      </c>
      <c r="I268" s="126"/>
      <c r="J268" s="108"/>
      <c r="K268" s="108"/>
      <c r="L268" s="119">
        <v>10</v>
      </c>
      <c r="M268" s="108"/>
      <c r="N268" s="108"/>
      <c r="O268" s="127"/>
    </row>
    <row r="269" spans="1:15">
      <c r="A269" s="104" t="s">
        <v>844</v>
      </c>
      <c r="B269" s="101" t="s">
        <v>845</v>
      </c>
      <c r="C269" s="102" t="s">
        <v>844</v>
      </c>
      <c r="D269" s="102" t="s">
        <v>583</v>
      </c>
      <c r="E269" s="103">
        <v>95.55</v>
      </c>
      <c r="F269" s="101"/>
      <c r="G269" s="108">
        <v>100</v>
      </c>
      <c r="H269" s="125">
        <v>10</v>
      </c>
      <c r="I269" s="126"/>
      <c r="J269" s="108"/>
      <c r="K269" s="108"/>
      <c r="L269" s="119">
        <v>10</v>
      </c>
      <c r="M269" s="108"/>
      <c r="N269" s="108"/>
      <c r="O269" s="127"/>
    </row>
    <row r="270" spans="1:15">
      <c r="A270" s="104" t="s">
        <v>846</v>
      </c>
      <c r="B270" s="101" t="s">
        <v>847</v>
      </c>
      <c r="C270" s="102" t="s">
        <v>846</v>
      </c>
      <c r="D270" s="102" t="s">
        <v>583</v>
      </c>
      <c r="E270" s="103">
        <v>100</v>
      </c>
      <c r="F270" s="101"/>
      <c r="G270" s="108">
        <v>100</v>
      </c>
      <c r="H270" s="125">
        <v>10</v>
      </c>
      <c r="I270" s="126"/>
      <c r="J270" s="108"/>
      <c r="K270" s="108"/>
      <c r="L270" s="119">
        <v>10</v>
      </c>
      <c r="M270" s="108"/>
      <c r="N270" s="108"/>
      <c r="O270" s="127"/>
    </row>
    <row r="271" spans="1:15">
      <c r="A271" s="104" t="s">
        <v>848</v>
      </c>
      <c r="B271" s="102" t="s">
        <v>849</v>
      </c>
      <c r="C271" s="102" t="s">
        <v>850</v>
      </c>
      <c r="D271" s="102" t="s">
        <v>583</v>
      </c>
      <c r="E271" s="103">
        <v>105</v>
      </c>
      <c r="F271" s="101"/>
      <c r="G271" s="108">
        <v>100</v>
      </c>
      <c r="H271" s="125">
        <v>10</v>
      </c>
      <c r="I271" s="126"/>
      <c r="J271" s="108"/>
      <c r="K271" s="108"/>
      <c r="L271" s="119">
        <v>10</v>
      </c>
      <c r="M271" s="108"/>
      <c r="N271" s="108"/>
      <c r="O271" s="127"/>
    </row>
    <row r="272" spans="1:15">
      <c r="A272" s="104" t="s">
        <v>851</v>
      </c>
      <c r="B272" s="101" t="s">
        <v>852</v>
      </c>
      <c r="C272" s="102" t="s">
        <v>851</v>
      </c>
      <c r="D272" s="102" t="s">
        <v>583</v>
      </c>
      <c r="E272" s="103">
        <v>27.92</v>
      </c>
      <c r="F272" s="101"/>
      <c r="G272" s="108">
        <v>100</v>
      </c>
      <c r="H272" s="125">
        <v>10</v>
      </c>
      <c r="I272" s="126"/>
      <c r="J272" s="108"/>
      <c r="K272" s="108"/>
      <c r="L272" s="119">
        <v>10</v>
      </c>
      <c r="M272" s="108"/>
      <c r="N272" s="108"/>
      <c r="O272" s="127"/>
    </row>
    <row r="273" spans="1:15">
      <c r="A273" s="104" t="s">
        <v>78</v>
      </c>
      <c r="B273" s="101" t="s">
        <v>852</v>
      </c>
      <c r="C273" s="102" t="s">
        <v>851</v>
      </c>
      <c r="D273" s="102" t="s">
        <v>583</v>
      </c>
      <c r="E273" s="103">
        <v>27.92</v>
      </c>
      <c r="F273" s="101"/>
      <c r="G273" s="108">
        <v>100</v>
      </c>
      <c r="H273" s="125">
        <v>10</v>
      </c>
      <c r="I273" s="126"/>
      <c r="J273" s="108"/>
      <c r="K273" s="108"/>
      <c r="L273" s="119">
        <v>10</v>
      </c>
      <c r="M273" s="108"/>
      <c r="N273" s="108"/>
      <c r="O273" s="127"/>
    </row>
    <row r="274" spans="1:15">
      <c r="A274" s="104" t="s">
        <v>853</v>
      </c>
      <c r="B274" s="101" t="s">
        <v>854</v>
      </c>
      <c r="C274" s="102" t="s">
        <v>853</v>
      </c>
      <c r="D274" s="102" t="s">
        <v>583</v>
      </c>
      <c r="E274" s="103">
        <v>27.5</v>
      </c>
      <c r="F274" s="101"/>
      <c r="G274" s="108">
        <v>100</v>
      </c>
      <c r="H274" s="125">
        <v>10</v>
      </c>
      <c r="I274" s="126"/>
      <c r="J274" s="108"/>
      <c r="K274" s="108"/>
      <c r="L274" s="119">
        <v>10</v>
      </c>
      <c r="M274" s="108"/>
      <c r="N274" s="108"/>
      <c r="O274" s="127"/>
    </row>
    <row r="275" spans="1:15">
      <c r="A275" s="104" t="s">
        <v>367</v>
      </c>
      <c r="B275" s="102" t="s">
        <v>855</v>
      </c>
      <c r="C275" s="102" t="s">
        <v>856</v>
      </c>
      <c r="D275" s="102" t="s">
        <v>583</v>
      </c>
      <c r="E275" s="103">
        <v>27.5</v>
      </c>
      <c r="F275" s="101"/>
      <c r="G275" s="108">
        <v>100</v>
      </c>
      <c r="H275" s="125">
        <v>10</v>
      </c>
      <c r="I275" s="126"/>
      <c r="J275" s="108"/>
      <c r="K275" s="108"/>
      <c r="L275" s="119">
        <v>10</v>
      </c>
      <c r="M275" s="108"/>
      <c r="N275" s="108"/>
      <c r="O275" s="127"/>
    </row>
    <row r="276" spans="1:15">
      <c r="A276" s="104" t="s">
        <v>856</v>
      </c>
      <c r="B276" s="102" t="s">
        <v>855</v>
      </c>
      <c r="C276" s="102" t="s">
        <v>856</v>
      </c>
      <c r="D276" s="102" t="s">
        <v>583</v>
      </c>
      <c r="E276" s="103">
        <v>27.5</v>
      </c>
      <c r="F276" s="101"/>
      <c r="G276" s="108">
        <v>100</v>
      </c>
      <c r="H276" s="125">
        <v>10</v>
      </c>
      <c r="I276" s="126"/>
      <c r="J276" s="108"/>
      <c r="K276" s="108"/>
      <c r="L276" s="119">
        <v>10</v>
      </c>
      <c r="M276" s="108"/>
      <c r="N276" s="108"/>
      <c r="O276" s="127"/>
    </row>
    <row r="277" spans="1:15">
      <c r="A277" s="104" t="s">
        <v>857</v>
      </c>
      <c r="B277" s="102" t="s">
        <v>858</v>
      </c>
      <c r="C277" s="102" t="s">
        <v>857</v>
      </c>
      <c r="D277" s="102" t="s">
        <v>583</v>
      </c>
      <c r="E277" s="103">
        <v>30.83</v>
      </c>
      <c r="F277" s="101"/>
      <c r="G277" s="108">
        <v>100</v>
      </c>
      <c r="H277" s="125">
        <v>10</v>
      </c>
      <c r="I277" s="126"/>
      <c r="J277" s="108"/>
      <c r="K277" s="108"/>
      <c r="L277" s="119">
        <v>10</v>
      </c>
      <c r="M277" s="108"/>
      <c r="N277" s="108"/>
      <c r="O277" s="127"/>
    </row>
    <row r="278" spans="1:15">
      <c r="A278" s="104" t="s">
        <v>859</v>
      </c>
      <c r="B278" s="102" t="s">
        <v>860</v>
      </c>
      <c r="C278" s="102" t="s">
        <v>861</v>
      </c>
      <c r="D278" s="102" t="s">
        <v>583</v>
      </c>
      <c r="E278" s="103">
        <v>30</v>
      </c>
      <c r="F278" s="101" t="s">
        <v>862</v>
      </c>
      <c r="G278" s="108">
        <v>60</v>
      </c>
      <c r="H278" s="125">
        <v>16.666666666666668</v>
      </c>
      <c r="I278" s="126"/>
      <c r="J278" s="108"/>
      <c r="K278" s="108"/>
      <c r="L278" s="119">
        <v>16.666666666666668</v>
      </c>
      <c r="M278" s="108"/>
      <c r="N278" s="108"/>
      <c r="O278" s="127"/>
    </row>
    <row r="279" spans="1:15">
      <c r="A279" s="104" t="s">
        <v>863</v>
      </c>
      <c r="B279" s="101" t="s">
        <v>864</v>
      </c>
      <c r="C279" s="102" t="s">
        <v>863</v>
      </c>
      <c r="D279" s="102" t="s">
        <v>583</v>
      </c>
      <c r="E279" s="103">
        <v>62.5</v>
      </c>
      <c r="F279" s="101"/>
      <c r="G279" s="109">
        <v>60</v>
      </c>
      <c r="H279" s="125">
        <v>16.666666666666668</v>
      </c>
      <c r="I279" s="129"/>
      <c r="J279" s="109"/>
      <c r="K279" s="109"/>
      <c r="L279" s="119">
        <v>16.666666666666668</v>
      </c>
      <c r="M279" s="109"/>
      <c r="N279" s="109"/>
      <c r="O279" s="130"/>
    </row>
    <row r="280" spans="1:15">
      <c r="A280" s="104" t="s">
        <v>865</v>
      </c>
      <c r="B280" s="102" t="s">
        <v>866</v>
      </c>
      <c r="C280" s="102" t="s">
        <v>867</v>
      </c>
      <c r="D280" s="102" t="s">
        <v>583</v>
      </c>
      <c r="E280" s="103">
        <v>56.666666666666664</v>
      </c>
      <c r="F280" s="101" t="s">
        <v>509</v>
      </c>
      <c r="G280" s="108">
        <v>60</v>
      </c>
      <c r="H280" s="125">
        <v>16.666666666666668</v>
      </c>
      <c r="I280" s="126"/>
      <c r="J280" s="108"/>
      <c r="K280" s="108"/>
      <c r="L280" s="119">
        <v>16.666666666666668</v>
      </c>
      <c r="M280" s="108"/>
      <c r="N280" s="108"/>
      <c r="O280" s="127"/>
    </row>
    <row r="281" spans="1:15">
      <c r="A281" s="104" t="s">
        <v>868</v>
      </c>
      <c r="B281" s="102" t="s">
        <v>866</v>
      </c>
      <c r="C281" s="102" t="s">
        <v>867</v>
      </c>
      <c r="D281" s="102" t="s">
        <v>583</v>
      </c>
      <c r="E281" s="103">
        <v>56.666666666666664</v>
      </c>
      <c r="F281" s="101" t="s">
        <v>509</v>
      </c>
      <c r="G281" s="108">
        <v>60</v>
      </c>
      <c r="H281" s="125">
        <v>16.666666666666668</v>
      </c>
      <c r="I281" s="126"/>
      <c r="J281" s="108"/>
      <c r="K281" s="108"/>
      <c r="L281" s="119">
        <v>16.666666666666668</v>
      </c>
      <c r="M281" s="108"/>
      <c r="N281" s="108"/>
      <c r="O281" s="127"/>
    </row>
    <row r="282" spans="1:15">
      <c r="A282" s="104" t="s">
        <v>364</v>
      </c>
      <c r="B282" s="102" t="s">
        <v>869</v>
      </c>
      <c r="C282" s="102" t="s">
        <v>364</v>
      </c>
      <c r="D282" s="102" t="s">
        <v>583</v>
      </c>
      <c r="E282" s="103">
        <v>90</v>
      </c>
      <c r="F282" s="101"/>
      <c r="G282" s="108">
        <v>10</v>
      </c>
      <c r="H282" s="125">
        <v>100</v>
      </c>
      <c r="I282" s="126"/>
      <c r="J282" s="108"/>
      <c r="K282" s="108"/>
      <c r="L282" s="119">
        <v>100</v>
      </c>
      <c r="M282" s="108"/>
      <c r="N282" s="108"/>
      <c r="O282" s="127"/>
    </row>
    <row r="283" spans="1:15">
      <c r="A283" s="104" t="s">
        <v>870</v>
      </c>
      <c r="B283" s="101" t="s">
        <v>871</v>
      </c>
      <c r="C283" s="102" t="s">
        <v>870</v>
      </c>
      <c r="D283" s="102" t="s">
        <v>583</v>
      </c>
      <c r="E283" s="103">
        <v>36.67</v>
      </c>
      <c r="F283" s="101"/>
      <c r="G283" s="108">
        <v>60</v>
      </c>
      <c r="H283" s="125">
        <v>16.666666666666668</v>
      </c>
      <c r="I283" s="126"/>
      <c r="J283" s="108"/>
      <c r="K283" s="108"/>
      <c r="L283" s="119">
        <v>16.666666666666668</v>
      </c>
      <c r="M283" s="108"/>
      <c r="N283" s="108"/>
      <c r="O283" s="127"/>
    </row>
    <row r="284" spans="1:15">
      <c r="A284" s="105" t="s">
        <v>872</v>
      </c>
      <c r="B284" s="105" t="s">
        <v>873</v>
      </c>
      <c r="C284" s="105" t="s">
        <v>872</v>
      </c>
      <c r="D284" s="105" t="s">
        <v>583</v>
      </c>
      <c r="E284" s="103">
        <v>433.33</v>
      </c>
      <c r="F284" s="106"/>
      <c r="G284" s="108">
        <v>10</v>
      </c>
      <c r="H284" s="125">
        <v>100</v>
      </c>
      <c r="I284" s="126"/>
      <c r="J284" s="108"/>
      <c r="K284" s="108"/>
      <c r="L284" s="119">
        <v>100</v>
      </c>
      <c r="M284" s="108"/>
      <c r="N284" s="108"/>
      <c r="O284" s="127"/>
    </row>
    <row r="285" spans="1:15">
      <c r="A285" s="105" t="s">
        <v>874</v>
      </c>
      <c r="B285" s="105" t="s">
        <v>875</v>
      </c>
      <c r="C285" s="105" t="s">
        <v>874</v>
      </c>
      <c r="D285" s="105" t="s">
        <v>583</v>
      </c>
      <c r="E285" s="103">
        <v>1133.33</v>
      </c>
      <c r="F285" s="106"/>
      <c r="G285" s="108">
        <v>10</v>
      </c>
      <c r="H285" s="125">
        <v>100</v>
      </c>
      <c r="I285" s="126"/>
      <c r="J285" s="108"/>
      <c r="K285" s="108"/>
      <c r="L285" s="119">
        <v>100</v>
      </c>
      <c r="M285" s="108"/>
      <c r="N285" s="108"/>
      <c r="O285" s="127"/>
    </row>
    <row r="286" spans="1:15">
      <c r="A286" s="104" t="s">
        <v>117</v>
      </c>
      <c r="B286" s="102" t="s">
        <v>876</v>
      </c>
      <c r="C286" s="102" t="s">
        <v>117</v>
      </c>
      <c r="D286" s="102" t="s">
        <v>583</v>
      </c>
      <c r="E286" s="103">
        <v>700</v>
      </c>
      <c r="F286" s="101"/>
      <c r="G286" s="108">
        <v>10</v>
      </c>
      <c r="H286" s="125">
        <v>100</v>
      </c>
      <c r="I286" s="126"/>
      <c r="J286" s="108"/>
      <c r="K286" s="108"/>
      <c r="L286" s="119">
        <v>100</v>
      </c>
      <c r="M286" s="108"/>
      <c r="N286" s="108"/>
      <c r="O286" s="127"/>
    </row>
    <row r="287" spans="1:15">
      <c r="A287" s="104" t="s">
        <v>877</v>
      </c>
      <c r="B287" s="102" t="s">
        <v>878</v>
      </c>
      <c r="C287" s="102" t="s">
        <v>877</v>
      </c>
      <c r="D287" s="102" t="s">
        <v>583</v>
      </c>
      <c r="E287" s="103">
        <v>65</v>
      </c>
      <c r="F287" s="101"/>
      <c r="G287" s="108">
        <v>60</v>
      </c>
      <c r="H287" s="125">
        <v>16.666666666666668</v>
      </c>
      <c r="I287" s="126"/>
      <c r="J287" s="108"/>
      <c r="K287" s="108"/>
      <c r="L287" s="119">
        <v>16.666666666666668</v>
      </c>
      <c r="M287" s="108"/>
      <c r="N287" s="108"/>
      <c r="O287" s="127"/>
    </row>
    <row r="288" spans="1:15">
      <c r="A288" s="104" t="s">
        <v>879</v>
      </c>
      <c r="B288" s="102" t="s">
        <v>880</v>
      </c>
      <c r="C288" s="102" t="s">
        <v>881</v>
      </c>
      <c r="D288" s="102" t="s">
        <v>583</v>
      </c>
      <c r="E288" s="103">
        <v>110</v>
      </c>
      <c r="F288" s="101"/>
      <c r="G288" s="108">
        <v>10</v>
      </c>
      <c r="H288" s="125">
        <v>100</v>
      </c>
      <c r="I288" s="126"/>
      <c r="J288" s="108"/>
      <c r="K288" s="108"/>
      <c r="L288" s="119">
        <v>100</v>
      </c>
      <c r="M288" s="108"/>
      <c r="N288" s="108"/>
      <c r="O288" s="127"/>
    </row>
    <row r="289" spans="1:15">
      <c r="A289" s="105" t="s">
        <v>882</v>
      </c>
      <c r="B289" s="105" t="s">
        <v>883</v>
      </c>
      <c r="C289" s="105" t="s">
        <v>882</v>
      </c>
      <c r="D289" s="102" t="s">
        <v>583</v>
      </c>
      <c r="E289" s="103">
        <v>14</v>
      </c>
      <c r="F289" s="106"/>
      <c r="G289" s="108">
        <v>60</v>
      </c>
      <c r="H289" s="125">
        <v>16.666666666666668</v>
      </c>
      <c r="I289" s="126"/>
      <c r="J289" s="108"/>
      <c r="K289" s="108"/>
      <c r="L289" s="119">
        <v>16.666666666666668</v>
      </c>
      <c r="M289" s="108"/>
      <c r="N289" s="108"/>
      <c r="O289" s="127"/>
    </row>
    <row r="290" spans="1:15">
      <c r="A290" s="105" t="s">
        <v>884</v>
      </c>
      <c r="B290" s="105" t="s">
        <v>885</v>
      </c>
      <c r="C290" s="105" t="s">
        <v>884</v>
      </c>
      <c r="D290" s="102" t="s">
        <v>583</v>
      </c>
      <c r="E290" s="103">
        <v>60</v>
      </c>
      <c r="F290" s="106"/>
      <c r="G290" s="108">
        <v>60</v>
      </c>
      <c r="H290" s="125">
        <v>16.666666666666668</v>
      </c>
      <c r="I290" s="126"/>
      <c r="J290" s="108"/>
      <c r="K290" s="108"/>
      <c r="L290" s="119">
        <v>16.666666666666668</v>
      </c>
      <c r="M290" s="108"/>
      <c r="N290" s="108"/>
      <c r="O290" s="127"/>
    </row>
    <row r="291" spans="1:15">
      <c r="A291" s="104" t="s">
        <v>886</v>
      </c>
      <c r="B291" s="101" t="s">
        <v>887</v>
      </c>
      <c r="C291" s="102" t="s">
        <v>886</v>
      </c>
      <c r="D291" s="102" t="s">
        <v>583</v>
      </c>
      <c r="E291" s="103">
        <v>48.33</v>
      </c>
      <c r="F291" s="101"/>
      <c r="G291" s="108">
        <v>40</v>
      </c>
      <c r="H291" s="125">
        <v>25</v>
      </c>
      <c r="I291" s="126"/>
      <c r="J291" s="108"/>
      <c r="K291" s="108"/>
      <c r="L291" s="119">
        <v>25</v>
      </c>
      <c r="M291" s="108"/>
      <c r="N291" s="108"/>
      <c r="O291" s="127"/>
    </row>
    <row r="292" spans="1:15">
      <c r="A292" s="110" t="s">
        <v>888</v>
      </c>
      <c r="B292" s="101"/>
      <c r="C292" s="102"/>
      <c r="D292" s="102"/>
      <c r="E292" s="101"/>
      <c r="F292" s="101"/>
      <c r="G292" s="108"/>
      <c r="H292" s="125"/>
      <c r="I292" s="133"/>
      <c r="J292" s="76"/>
      <c r="K292" s="76"/>
      <c r="L292" s="76"/>
      <c r="M292" s="76"/>
      <c r="N292" s="115"/>
      <c r="O292" s="134"/>
    </row>
    <row r="293" spans="1:15">
      <c r="A293" s="107" t="s">
        <v>428</v>
      </c>
      <c r="B293" s="102" t="s">
        <v>890</v>
      </c>
      <c r="C293" s="102" t="s">
        <v>891</v>
      </c>
      <c r="D293" s="102" t="s">
        <v>583</v>
      </c>
      <c r="E293" s="103">
        <v>141.75</v>
      </c>
      <c r="F293" s="101"/>
      <c r="G293" s="108">
        <v>15</v>
      </c>
      <c r="H293" s="125">
        <v>66.666666666666671</v>
      </c>
      <c r="I293" s="126"/>
      <c r="J293" s="108"/>
      <c r="K293" s="108"/>
      <c r="L293" s="108"/>
      <c r="M293" s="108"/>
      <c r="N293" s="119">
        <v>66.666666666666671</v>
      </c>
      <c r="O293" s="127"/>
    </row>
    <row r="294" spans="1:15">
      <c r="A294" s="107" t="s">
        <v>889</v>
      </c>
      <c r="B294" s="102" t="s">
        <v>890</v>
      </c>
      <c r="C294" s="102" t="s">
        <v>891</v>
      </c>
      <c r="D294" s="102" t="s">
        <v>583</v>
      </c>
      <c r="E294" s="103">
        <v>141.75</v>
      </c>
      <c r="F294" s="101"/>
      <c r="G294" s="108">
        <v>15</v>
      </c>
      <c r="H294" s="125">
        <v>66.666666666666671</v>
      </c>
      <c r="I294" s="126"/>
      <c r="J294" s="108"/>
      <c r="K294" s="108"/>
      <c r="L294" s="108"/>
      <c r="M294" s="108"/>
      <c r="N294" s="119">
        <v>66.666666666666671</v>
      </c>
      <c r="O294" s="127"/>
    </row>
    <row r="295" spans="1:15">
      <c r="A295" s="104" t="s">
        <v>892</v>
      </c>
      <c r="B295" s="101" t="s">
        <v>893</v>
      </c>
      <c r="C295" s="102" t="s">
        <v>892</v>
      </c>
      <c r="D295" s="102" t="s">
        <v>583</v>
      </c>
      <c r="E295" s="103">
        <v>501</v>
      </c>
      <c r="F295" s="101"/>
      <c r="G295" s="108">
        <v>10</v>
      </c>
      <c r="H295" s="125">
        <v>100</v>
      </c>
      <c r="I295" s="126"/>
      <c r="J295" s="108"/>
      <c r="K295" s="108"/>
      <c r="L295" s="108"/>
      <c r="M295" s="108"/>
      <c r="N295" s="119">
        <v>100</v>
      </c>
      <c r="O295" s="127"/>
    </row>
    <row r="296" spans="1:15">
      <c r="A296" s="104" t="s">
        <v>447</v>
      </c>
      <c r="B296" s="102" t="s">
        <v>895</v>
      </c>
      <c r="C296" s="102" t="s">
        <v>894</v>
      </c>
      <c r="D296" s="102" t="s">
        <v>583</v>
      </c>
      <c r="E296" s="103">
        <v>166.67</v>
      </c>
      <c r="F296" s="101"/>
      <c r="G296" s="108">
        <v>13</v>
      </c>
      <c r="H296" s="125">
        <v>76.92307692307692</v>
      </c>
      <c r="I296" s="126"/>
      <c r="J296" s="108"/>
      <c r="K296" s="108"/>
      <c r="L296" s="108"/>
      <c r="M296" s="108"/>
      <c r="N296" s="119">
        <v>76.92307692307692</v>
      </c>
      <c r="O296" s="127"/>
    </row>
    <row r="297" spans="1:15">
      <c r="A297" s="104" t="s">
        <v>894</v>
      </c>
      <c r="B297" s="102" t="s">
        <v>895</v>
      </c>
      <c r="C297" s="102" t="s">
        <v>894</v>
      </c>
      <c r="D297" s="102" t="s">
        <v>583</v>
      </c>
      <c r="E297" s="103">
        <v>166.67</v>
      </c>
      <c r="F297" s="101"/>
      <c r="G297" s="108">
        <v>13</v>
      </c>
      <c r="H297" s="125">
        <v>76.92307692307692</v>
      </c>
      <c r="I297" s="126"/>
      <c r="J297" s="108"/>
      <c r="K297" s="108"/>
      <c r="L297" s="108"/>
      <c r="M297" s="108"/>
      <c r="N297" s="119">
        <v>76.92307692307692</v>
      </c>
      <c r="O297" s="127"/>
    </row>
    <row r="298" spans="1:15">
      <c r="A298" s="107" t="s">
        <v>896</v>
      </c>
      <c r="B298" s="101"/>
      <c r="C298" s="107" t="s">
        <v>896</v>
      </c>
      <c r="D298" s="102" t="s">
        <v>897</v>
      </c>
      <c r="E298" s="101">
        <v>181</v>
      </c>
      <c r="F298" s="101"/>
      <c r="G298" s="108">
        <v>13</v>
      </c>
      <c r="H298" s="125">
        <v>76.92307692307692</v>
      </c>
      <c r="I298" s="126"/>
      <c r="J298" s="108"/>
      <c r="K298" s="108"/>
      <c r="L298" s="108"/>
      <c r="M298" s="108"/>
      <c r="N298" s="119">
        <v>76.92307692307692</v>
      </c>
      <c r="O298" s="127"/>
    </row>
    <row r="299" spans="1:15">
      <c r="A299" s="104" t="s">
        <v>898</v>
      </c>
      <c r="B299" s="101" t="s">
        <v>899</v>
      </c>
      <c r="C299" s="102" t="s">
        <v>898</v>
      </c>
      <c r="D299" s="102" t="s">
        <v>583</v>
      </c>
      <c r="E299" s="103">
        <v>156.66999999999999</v>
      </c>
      <c r="F299" s="101"/>
      <c r="G299" s="108">
        <v>13</v>
      </c>
      <c r="H299" s="125">
        <v>76.92307692307692</v>
      </c>
      <c r="I299" s="126"/>
      <c r="J299" s="108"/>
      <c r="K299" s="108"/>
      <c r="L299" s="108"/>
      <c r="M299" s="108"/>
      <c r="N299" s="119">
        <v>76.92307692307692</v>
      </c>
      <c r="O299" s="127"/>
    </row>
    <row r="300" spans="1:15">
      <c r="A300" s="105" t="s">
        <v>900</v>
      </c>
      <c r="B300" s="105" t="s">
        <v>901</v>
      </c>
      <c r="C300" s="105" t="s">
        <v>900</v>
      </c>
      <c r="D300" s="105" t="s">
        <v>583</v>
      </c>
      <c r="E300" s="103">
        <v>175</v>
      </c>
      <c r="F300" s="106"/>
      <c r="G300" s="108">
        <v>13</v>
      </c>
      <c r="H300" s="125">
        <v>76.92307692307692</v>
      </c>
      <c r="I300" s="126"/>
      <c r="J300" s="108"/>
      <c r="K300" s="108"/>
      <c r="L300" s="108"/>
      <c r="M300" s="108"/>
      <c r="N300" s="119">
        <v>76.92307692307692</v>
      </c>
      <c r="O300" s="127"/>
    </row>
    <row r="301" spans="1:15">
      <c r="A301" s="105" t="s">
        <v>902</v>
      </c>
      <c r="B301" s="105" t="s">
        <v>903</v>
      </c>
      <c r="C301" s="105" t="s">
        <v>902</v>
      </c>
      <c r="D301" s="105" t="s">
        <v>583</v>
      </c>
      <c r="E301" s="103">
        <v>160</v>
      </c>
      <c r="F301" s="106"/>
      <c r="G301" s="108">
        <v>13</v>
      </c>
      <c r="H301" s="125">
        <v>76.92307692307692</v>
      </c>
      <c r="I301" s="126"/>
      <c r="J301" s="108"/>
      <c r="K301" s="108"/>
      <c r="L301" s="108"/>
      <c r="M301" s="108"/>
      <c r="N301" s="119">
        <v>76.92307692307692</v>
      </c>
      <c r="O301" s="127"/>
    </row>
    <row r="302" spans="1:15">
      <c r="A302" s="104" t="s">
        <v>904</v>
      </c>
      <c r="B302" s="101" t="s">
        <v>905</v>
      </c>
      <c r="C302" s="102" t="s">
        <v>904</v>
      </c>
      <c r="D302" s="102" t="s">
        <v>583</v>
      </c>
      <c r="E302" s="103">
        <v>200</v>
      </c>
      <c r="F302" s="101"/>
      <c r="G302" s="108">
        <v>10</v>
      </c>
      <c r="H302" s="125">
        <v>100</v>
      </c>
      <c r="I302" s="126"/>
      <c r="J302" s="108"/>
      <c r="K302" s="108"/>
      <c r="L302" s="108"/>
      <c r="M302" s="108"/>
      <c r="N302" s="119">
        <v>100</v>
      </c>
      <c r="O302" s="127"/>
    </row>
    <row r="303" spans="1:15">
      <c r="A303" s="104" t="s">
        <v>906</v>
      </c>
      <c r="B303" s="101" t="s">
        <v>907</v>
      </c>
      <c r="C303" s="102" t="s">
        <v>906</v>
      </c>
      <c r="D303" s="102" t="s">
        <v>583</v>
      </c>
      <c r="E303" s="103">
        <v>350</v>
      </c>
      <c r="F303" s="101"/>
      <c r="G303" s="108">
        <v>7</v>
      </c>
      <c r="H303" s="125">
        <v>142.85714285714286</v>
      </c>
      <c r="I303" s="126"/>
      <c r="J303" s="108"/>
      <c r="K303" s="108"/>
      <c r="L303" s="108"/>
      <c r="M303" s="108"/>
      <c r="N303" s="119">
        <v>142.85714285714286</v>
      </c>
      <c r="O303" s="127"/>
    </row>
    <row r="304" spans="1:15">
      <c r="A304" s="111" t="s">
        <v>908</v>
      </c>
      <c r="B304" s="102"/>
      <c r="C304" s="102"/>
      <c r="D304" s="102"/>
      <c r="E304" s="103"/>
      <c r="F304" s="101"/>
      <c r="G304" s="108"/>
      <c r="H304" s="125"/>
      <c r="I304" s="126"/>
      <c r="J304" s="108"/>
      <c r="K304" s="108"/>
      <c r="L304" s="108"/>
      <c r="M304" s="108"/>
      <c r="N304" s="108"/>
      <c r="O304" s="127"/>
    </row>
    <row r="305" spans="1:15">
      <c r="A305" s="104" t="s">
        <v>157</v>
      </c>
      <c r="B305" s="102" t="s">
        <v>909</v>
      </c>
      <c r="C305" s="102" t="s">
        <v>157</v>
      </c>
      <c r="D305" s="102" t="s">
        <v>583</v>
      </c>
      <c r="E305" s="103">
        <v>34</v>
      </c>
      <c r="F305" s="101" t="s">
        <v>505</v>
      </c>
      <c r="G305" s="108"/>
      <c r="H305" s="125"/>
      <c r="I305" s="126"/>
      <c r="J305" s="108"/>
      <c r="K305" s="108"/>
      <c r="L305" s="108"/>
      <c r="M305" s="108"/>
      <c r="N305" s="108"/>
      <c r="O305" s="127">
        <v>1000</v>
      </c>
    </row>
    <row r="306" spans="1:15">
      <c r="A306" s="104" t="s">
        <v>910</v>
      </c>
      <c r="B306" s="102" t="s">
        <v>911</v>
      </c>
      <c r="C306" s="102" t="s">
        <v>912</v>
      </c>
      <c r="D306" s="102" t="s">
        <v>583</v>
      </c>
      <c r="E306" s="103">
        <v>40.833333333333336</v>
      </c>
      <c r="F306" s="101" t="s">
        <v>509</v>
      </c>
      <c r="G306" s="108"/>
      <c r="H306" s="125"/>
      <c r="I306" s="126"/>
      <c r="J306" s="108"/>
      <c r="K306" s="108"/>
      <c r="L306" s="108"/>
      <c r="M306" s="108"/>
      <c r="N306" s="108"/>
      <c r="O306" s="127">
        <v>1000</v>
      </c>
    </row>
    <row r="307" spans="1:15">
      <c r="A307" s="104" t="s">
        <v>304</v>
      </c>
      <c r="B307" s="101" t="s">
        <v>913</v>
      </c>
      <c r="C307" s="102" t="s">
        <v>304</v>
      </c>
      <c r="D307" s="102" t="s">
        <v>583</v>
      </c>
      <c r="E307" s="103">
        <v>50</v>
      </c>
      <c r="F307" s="101"/>
      <c r="G307" s="108"/>
      <c r="H307" s="125"/>
      <c r="I307" s="126"/>
      <c r="J307" s="108"/>
      <c r="K307" s="108"/>
      <c r="L307" s="108"/>
      <c r="M307" s="108"/>
      <c r="N307" s="108"/>
      <c r="O307" s="127">
        <v>1000</v>
      </c>
    </row>
    <row r="308" spans="1:15">
      <c r="A308" s="104" t="s">
        <v>914</v>
      </c>
      <c r="B308" s="101" t="s">
        <v>915</v>
      </c>
      <c r="C308" s="102" t="s">
        <v>914</v>
      </c>
      <c r="D308" s="102" t="s">
        <v>583</v>
      </c>
      <c r="E308" s="103">
        <v>39</v>
      </c>
      <c r="F308" s="101"/>
      <c r="G308" s="108"/>
      <c r="H308" s="125"/>
      <c r="I308" s="126"/>
      <c r="J308" s="108"/>
      <c r="K308" s="108"/>
      <c r="L308" s="108"/>
      <c r="M308" s="108"/>
      <c r="N308" s="108"/>
      <c r="O308" s="127">
        <v>1000</v>
      </c>
    </row>
    <row r="309" spans="1:15" ht="17.25" thickBot="1">
      <c r="A309" s="107"/>
      <c r="B309" s="101"/>
      <c r="C309" s="102"/>
      <c r="D309" s="102"/>
      <c r="E309" s="101"/>
      <c r="F309" s="101"/>
      <c r="G309" s="106"/>
      <c r="H309" s="124"/>
      <c r="I309" s="135"/>
      <c r="J309" s="136"/>
      <c r="K309" s="136"/>
      <c r="L309" s="136"/>
      <c r="M309" s="136"/>
      <c r="N309" s="137"/>
      <c r="O309" s="13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="110" zoomScaleNormal="110" workbookViewId="0">
      <selection activeCell="D12" sqref="D12"/>
    </sheetView>
  </sheetViews>
  <sheetFormatPr defaultRowHeight="16.5"/>
  <cols>
    <col min="1" max="1" width="8.75" customWidth="1"/>
    <col min="2" max="2" width="6.75" customWidth="1"/>
    <col min="3" max="3" width="6" customWidth="1"/>
    <col min="4" max="5" width="25.375" customWidth="1"/>
    <col min="7" max="7" width="20" bestFit="1" customWidth="1"/>
    <col min="8" max="8" width="17.75" bestFit="1" customWidth="1"/>
  </cols>
  <sheetData>
    <row r="1" spans="1:12" ht="42" customHeight="1">
      <c r="A1" s="69"/>
      <c r="B1" s="264" t="s">
        <v>1210</v>
      </c>
      <c r="C1" s="265"/>
      <c r="D1" s="265"/>
      <c r="E1" s="265"/>
    </row>
    <row r="2" spans="1:12" ht="18" customHeight="1" thickBot="1">
      <c r="A2" s="69"/>
      <c r="B2" s="166" t="s">
        <v>0</v>
      </c>
      <c r="C2" s="166" t="s">
        <v>1</v>
      </c>
      <c r="D2" s="167" t="s">
        <v>2</v>
      </c>
      <c r="E2" s="166" t="s">
        <v>3</v>
      </c>
    </row>
    <row r="3" spans="1:12" ht="18" hidden="1" customHeight="1" thickTop="1">
      <c r="A3" s="70">
        <v>45257</v>
      </c>
      <c r="B3" s="161">
        <f>DATE(YEAR(A3),MONTH(A3),DAY(A3))</f>
        <v>45257</v>
      </c>
      <c r="C3" s="8" t="s">
        <v>132</v>
      </c>
      <c r="D3" s="162"/>
      <c r="E3" s="199"/>
    </row>
    <row r="4" spans="1:12" ht="18" hidden="1" customHeight="1">
      <c r="A4" s="70">
        <f>A3+1</f>
        <v>45258</v>
      </c>
      <c r="B4" s="67">
        <f t="shared" ref="B4:B37" si="0">DATE(YEAR(A4),MONTH(A4),DAY(A4))</f>
        <v>45258</v>
      </c>
      <c r="C4" s="68" t="s">
        <v>49</v>
      </c>
      <c r="D4" s="162"/>
      <c r="E4" s="199"/>
    </row>
    <row r="5" spans="1:12" ht="18" hidden="1" customHeight="1">
      <c r="A5" s="70">
        <f>A3+2</f>
        <v>45259</v>
      </c>
      <c r="B5" s="67">
        <f t="shared" si="0"/>
        <v>45259</v>
      </c>
      <c r="C5" s="68" t="s">
        <v>50</v>
      </c>
      <c r="D5" s="162"/>
      <c r="E5" s="54"/>
    </row>
    <row r="6" spans="1:12" ht="18" hidden="1" customHeight="1">
      <c r="A6" s="70">
        <f t="shared" ref="A6" si="1">A5+1</f>
        <v>45260</v>
      </c>
      <c r="B6" s="67">
        <f t="shared" si="0"/>
        <v>45260</v>
      </c>
      <c r="C6" s="54" t="s">
        <v>9</v>
      </c>
      <c r="D6" s="68"/>
      <c r="E6" s="200"/>
      <c r="L6" s="12"/>
    </row>
    <row r="7" spans="1:12" ht="18" customHeight="1" thickTop="1" thickBot="1">
      <c r="A7" s="70">
        <f t="shared" ref="A7" si="2">A5+2</f>
        <v>45261</v>
      </c>
      <c r="B7" s="163">
        <f t="shared" si="0"/>
        <v>45261</v>
      </c>
      <c r="C7" s="164" t="s">
        <v>10</v>
      </c>
      <c r="D7" s="203" t="s">
        <v>1231</v>
      </c>
      <c r="E7" s="207" t="s">
        <v>1200</v>
      </c>
      <c r="L7" s="12"/>
    </row>
    <row r="8" spans="1:12" ht="18" hidden="1" customHeight="1" thickTop="1">
      <c r="A8" s="70">
        <f t="shared" ref="A8" si="3">A7+1</f>
        <v>45262</v>
      </c>
      <c r="B8" s="161">
        <f t="shared" si="0"/>
        <v>45262</v>
      </c>
      <c r="C8" s="162" t="s">
        <v>71</v>
      </c>
      <c r="D8" s="8"/>
      <c r="E8" s="8"/>
      <c r="L8" s="12"/>
    </row>
    <row r="9" spans="1:12" ht="18" hidden="1" customHeight="1">
      <c r="A9" s="70">
        <f t="shared" ref="A9" si="4">A7+2</f>
        <v>45263</v>
      </c>
      <c r="B9" s="67">
        <f t="shared" si="0"/>
        <v>45263</v>
      </c>
      <c r="C9" s="54" t="s">
        <v>133</v>
      </c>
      <c r="D9" s="68"/>
      <c r="E9" s="68"/>
      <c r="L9" s="12"/>
    </row>
    <row r="10" spans="1:12" ht="18" customHeight="1" thickTop="1">
      <c r="A10" s="70">
        <f t="shared" ref="A10" si="5">A9+1</f>
        <v>45264</v>
      </c>
      <c r="B10" s="67">
        <f t="shared" si="0"/>
        <v>45264</v>
      </c>
      <c r="C10" s="53" t="s">
        <v>4</v>
      </c>
      <c r="D10" s="54" t="s">
        <v>1219</v>
      </c>
      <c r="E10" s="210" t="s">
        <v>1218</v>
      </c>
      <c r="L10" s="12"/>
    </row>
    <row r="11" spans="1:12" ht="18" customHeight="1">
      <c r="A11" s="70">
        <f t="shared" ref="A11" si="6">A9+2</f>
        <v>45265</v>
      </c>
      <c r="B11" s="67">
        <f t="shared" si="0"/>
        <v>45265</v>
      </c>
      <c r="C11" s="53" t="s">
        <v>5</v>
      </c>
      <c r="D11" s="68" t="s">
        <v>1216</v>
      </c>
      <c r="E11" s="68" t="s">
        <v>1187</v>
      </c>
      <c r="L11" s="12"/>
    </row>
    <row r="12" spans="1:12" ht="18" customHeight="1">
      <c r="A12" s="70">
        <f t="shared" ref="A12" si="7">A11+1</f>
        <v>45266</v>
      </c>
      <c r="B12" s="67">
        <f t="shared" si="0"/>
        <v>45266</v>
      </c>
      <c r="C12" s="53" t="s">
        <v>6</v>
      </c>
      <c r="D12" s="8" t="s">
        <v>1268</v>
      </c>
      <c r="E12" s="200" t="s">
        <v>984</v>
      </c>
    </row>
    <row r="13" spans="1:12" ht="18" customHeight="1">
      <c r="A13" s="70">
        <f t="shared" ref="A13" si="8">A11+2</f>
        <v>45267</v>
      </c>
      <c r="B13" s="67">
        <f t="shared" si="0"/>
        <v>45267</v>
      </c>
      <c r="C13" s="53" t="s">
        <v>7</v>
      </c>
      <c r="D13" s="68" t="s">
        <v>1195</v>
      </c>
      <c r="E13" s="71" t="s">
        <v>1211</v>
      </c>
    </row>
    <row r="14" spans="1:12" ht="18" customHeight="1" thickBot="1">
      <c r="A14" s="70">
        <f t="shared" ref="A14" si="9">A13+1</f>
        <v>45268</v>
      </c>
      <c r="B14" s="163">
        <f t="shared" si="0"/>
        <v>45268</v>
      </c>
      <c r="C14" s="168" t="s">
        <v>8</v>
      </c>
      <c r="D14" s="165" t="s">
        <v>1176</v>
      </c>
      <c r="E14" s="200" t="s">
        <v>1095</v>
      </c>
    </row>
    <row r="15" spans="1:12" ht="18" hidden="1" customHeight="1" thickTop="1">
      <c r="A15" s="70">
        <f t="shared" ref="A15" si="10">A13+2</f>
        <v>45269</v>
      </c>
      <c r="B15" s="161">
        <f t="shared" si="0"/>
        <v>45269</v>
      </c>
      <c r="C15" s="162" t="s">
        <v>71</v>
      </c>
      <c r="D15" s="8"/>
      <c r="E15" s="8"/>
      <c r="L15" s="12"/>
    </row>
    <row r="16" spans="1:12" ht="18" hidden="1" customHeight="1">
      <c r="A16" s="70">
        <f t="shared" ref="A16" si="11">A15+1</f>
        <v>45270</v>
      </c>
      <c r="B16" s="67">
        <f t="shared" si="0"/>
        <v>45270</v>
      </c>
      <c r="C16" s="54" t="s">
        <v>133</v>
      </c>
      <c r="D16" s="68"/>
      <c r="E16" s="68"/>
      <c r="L16" s="12"/>
    </row>
    <row r="17" spans="1:12" ht="18" customHeight="1" thickTop="1">
      <c r="A17" s="70">
        <f t="shared" ref="A17" si="12">A15+2</f>
        <v>45271</v>
      </c>
      <c r="B17" s="67">
        <f t="shared" si="0"/>
        <v>45271</v>
      </c>
      <c r="C17" s="53" t="s">
        <v>4</v>
      </c>
      <c r="D17" s="8" t="s">
        <v>1183</v>
      </c>
      <c r="E17" s="211" t="s">
        <v>1228</v>
      </c>
    </row>
    <row r="18" spans="1:12" ht="18" customHeight="1">
      <c r="A18" s="70">
        <f t="shared" ref="A18" si="13">A17+1</f>
        <v>45272</v>
      </c>
      <c r="B18" s="67">
        <f t="shared" si="0"/>
        <v>45272</v>
      </c>
      <c r="C18" s="53" t="s">
        <v>5</v>
      </c>
      <c r="D18" s="200" t="s">
        <v>1197</v>
      </c>
      <c r="E18" s="54" t="s">
        <v>1198</v>
      </c>
    </row>
    <row r="19" spans="1:12" ht="18" customHeight="1">
      <c r="A19" s="70">
        <f t="shared" ref="A19" si="14">A17+2</f>
        <v>45273</v>
      </c>
      <c r="B19" s="67">
        <f t="shared" si="0"/>
        <v>45273</v>
      </c>
      <c r="C19" s="53" t="s">
        <v>6</v>
      </c>
      <c r="D19" s="212" t="s">
        <v>1012</v>
      </c>
      <c r="E19" s="212" t="s">
        <v>1221</v>
      </c>
    </row>
    <row r="20" spans="1:12" ht="18" customHeight="1">
      <c r="A20" s="70">
        <f t="shared" ref="A20" si="15">A19+1</f>
        <v>45274</v>
      </c>
      <c r="B20" s="67">
        <f t="shared" si="0"/>
        <v>45274</v>
      </c>
      <c r="C20" s="53" t="s">
        <v>7</v>
      </c>
      <c r="D20" s="68" t="s">
        <v>1196</v>
      </c>
      <c r="E20" s="215" t="s">
        <v>1264</v>
      </c>
    </row>
    <row r="21" spans="1:12" ht="18" customHeight="1" thickBot="1">
      <c r="A21" s="70">
        <f t="shared" ref="A21" si="16">A19+2</f>
        <v>45275</v>
      </c>
      <c r="B21" s="163">
        <f t="shared" si="0"/>
        <v>45275</v>
      </c>
      <c r="C21" s="168" t="s">
        <v>8</v>
      </c>
      <c r="D21" s="81" t="s">
        <v>1220</v>
      </c>
      <c r="E21" s="213" t="s">
        <v>1222</v>
      </c>
    </row>
    <row r="22" spans="1:12" ht="18" hidden="1" customHeight="1" thickTop="1">
      <c r="A22" s="70">
        <f t="shared" ref="A22" si="17">A21+1</f>
        <v>45276</v>
      </c>
      <c r="B22" s="161">
        <f t="shared" si="0"/>
        <v>45276</v>
      </c>
      <c r="C22" s="162" t="s">
        <v>71</v>
      </c>
      <c r="D22" s="8"/>
      <c r="E22" s="8"/>
      <c r="L22" s="12"/>
    </row>
    <row r="23" spans="1:12" ht="18" hidden="1" customHeight="1">
      <c r="A23" s="70">
        <f t="shared" ref="A23" si="18">A21+2</f>
        <v>45277</v>
      </c>
      <c r="B23" s="67">
        <f t="shared" si="0"/>
        <v>45277</v>
      </c>
      <c r="C23" s="54" t="s">
        <v>133</v>
      </c>
      <c r="D23" s="68"/>
      <c r="E23" s="68"/>
      <c r="L23" s="12"/>
    </row>
    <row r="24" spans="1:12" ht="18" customHeight="1" thickTop="1">
      <c r="A24" s="70">
        <f t="shared" ref="A24" si="19">A23+1</f>
        <v>45278</v>
      </c>
      <c r="B24" s="67">
        <f t="shared" si="0"/>
        <v>45278</v>
      </c>
      <c r="C24" s="53" t="s">
        <v>4</v>
      </c>
      <c r="D24" s="202" t="s">
        <v>1186</v>
      </c>
      <c r="E24" s="204" t="s">
        <v>1208</v>
      </c>
    </row>
    <row r="25" spans="1:12" ht="18" customHeight="1">
      <c r="A25" s="70">
        <f t="shared" ref="A25" si="20">A23+2</f>
        <v>45279</v>
      </c>
      <c r="B25" s="67">
        <f t="shared" si="0"/>
        <v>45279</v>
      </c>
      <c r="C25" s="53" t="s">
        <v>5</v>
      </c>
      <c r="D25" s="54" t="s">
        <v>1205</v>
      </c>
      <c r="E25" s="68" t="s">
        <v>1206</v>
      </c>
    </row>
    <row r="26" spans="1:12" ht="18" customHeight="1">
      <c r="A26" s="70">
        <f t="shared" ref="A26:A36" si="21">A25+1</f>
        <v>45280</v>
      </c>
      <c r="B26" s="67">
        <f t="shared" si="0"/>
        <v>45280</v>
      </c>
      <c r="C26" s="53" t="s">
        <v>6</v>
      </c>
      <c r="D26" s="201" t="s">
        <v>1123</v>
      </c>
      <c r="E26" s="68" t="s">
        <v>1088</v>
      </c>
    </row>
    <row r="27" spans="1:12" ht="18" customHeight="1">
      <c r="A27" s="70">
        <f t="shared" si="21"/>
        <v>45281</v>
      </c>
      <c r="B27" s="67">
        <f t="shared" si="0"/>
        <v>45281</v>
      </c>
      <c r="C27" s="54" t="s">
        <v>9</v>
      </c>
      <c r="D27" s="68" t="s">
        <v>1223</v>
      </c>
      <c r="E27" s="205" t="s">
        <v>994</v>
      </c>
    </row>
    <row r="28" spans="1:12" ht="18" customHeight="1">
      <c r="A28" s="70">
        <f>A26+2</f>
        <v>45282</v>
      </c>
      <c r="B28" s="218">
        <f t="shared" si="0"/>
        <v>45282</v>
      </c>
      <c r="C28" s="219" t="s">
        <v>10</v>
      </c>
      <c r="D28" s="220" t="s">
        <v>1224</v>
      </c>
      <c r="E28" s="221" t="s">
        <v>1259</v>
      </c>
    </row>
    <row r="29" spans="1:12" ht="18" customHeight="1" thickBot="1">
      <c r="A29" s="70">
        <f t="shared" si="21"/>
        <v>45283</v>
      </c>
      <c r="B29" s="208">
        <f t="shared" si="0"/>
        <v>45283</v>
      </c>
      <c r="C29" s="209" t="s">
        <v>71</v>
      </c>
      <c r="D29" s="217" t="s">
        <v>94</v>
      </c>
      <c r="E29" s="217" t="s">
        <v>1262</v>
      </c>
    </row>
    <row r="30" spans="1:12" ht="18" hidden="1" customHeight="1" thickTop="1">
      <c r="A30" s="70">
        <f t="shared" si="21"/>
        <v>45284</v>
      </c>
      <c r="B30" s="161">
        <f t="shared" si="0"/>
        <v>45284</v>
      </c>
      <c r="C30" s="162" t="s">
        <v>133</v>
      </c>
      <c r="D30" s="202"/>
      <c r="E30" s="202"/>
    </row>
    <row r="31" spans="1:12" ht="18" customHeight="1" thickTop="1">
      <c r="A31" s="70">
        <f>A29+2</f>
        <v>45285</v>
      </c>
      <c r="B31" s="67">
        <f t="shared" si="0"/>
        <v>45285</v>
      </c>
      <c r="C31" s="53" t="s">
        <v>4</v>
      </c>
      <c r="D31" s="201" t="s">
        <v>1239</v>
      </c>
      <c r="E31" s="8" t="s">
        <v>1209</v>
      </c>
    </row>
    <row r="32" spans="1:12">
      <c r="A32" s="70">
        <f t="shared" si="21"/>
        <v>45286</v>
      </c>
      <c r="B32" s="67">
        <f t="shared" si="0"/>
        <v>45286</v>
      </c>
      <c r="C32" s="53" t="s">
        <v>5</v>
      </c>
      <c r="D32" s="68" t="s">
        <v>1207</v>
      </c>
      <c r="E32" s="215" t="s">
        <v>1255</v>
      </c>
    </row>
    <row r="33" spans="1:12">
      <c r="A33" s="70">
        <f t="shared" si="21"/>
        <v>45287</v>
      </c>
      <c r="B33" s="67">
        <f t="shared" si="0"/>
        <v>45287</v>
      </c>
      <c r="C33" s="53" t="s">
        <v>6</v>
      </c>
      <c r="D33" s="68" t="s">
        <v>1204</v>
      </c>
      <c r="E33" s="68" t="s">
        <v>1225</v>
      </c>
    </row>
    <row r="34" spans="1:12">
      <c r="A34" s="70">
        <f t="shared" ref="A34" si="22">A32+2</f>
        <v>45288</v>
      </c>
      <c r="B34" s="67">
        <f t="shared" si="0"/>
        <v>45288</v>
      </c>
      <c r="C34" s="54" t="s">
        <v>9</v>
      </c>
      <c r="D34" s="54" t="s">
        <v>1182</v>
      </c>
      <c r="E34" s="68" t="s">
        <v>151</v>
      </c>
    </row>
    <row r="35" spans="1:12" ht="17.25" thickBot="1">
      <c r="A35" s="70">
        <f t="shared" si="21"/>
        <v>45289</v>
      </c>
      <c r="B35" s="163">
        <f t="shared" si="0"/>
        <v>45289</v>
      </c>
      <c r="C35" s="164" t="s">
        <v>10</v>
      </c>
      <c r="D35" s="206" t="s">
        <v>1203</v>
      </c>
      <c r="E35" s="216" t="s">
        <v>1248</v>
      </c>
    </row>
    <row r="36" spans="1:12" ht="18" hidden="1" customHeight="1" thickTop="1">
      <c r="A36" s="70">
        <f t="shared" si="21"/>
        <v>45290</v>
      </c>
      <c r="B36" s="161">
        <f t="shared" si="0"/>
        <v>45290</v>
      </c>
      <c r="C36" s="162" t="s">
        <v>71</v>
      </c>
      <c r="D36" s="8"/>
      <c r="E36" s="8"/>
      <c r="L36" s="12"/>
    </row>
    <row r="37" spans="1:12" ht="18" hidden="1" customHeight="1">
      <c r="A37" s="70">
        <f t="shared" ref="A37" si="23">A35+2</f>
        <v>45291</v>
      </c>
      <c r="B37" s="67">
        <f t="shared" si="0"/>
        <v>45291</v>
      </c>
      <c r="C37" s="54" t="s">
        <v>133</v>
      </c>
      <c r="D37" s="68"/>
      <c r="E37" s="68"/>
      <c r="L37" s="12"/>
    </row>
    <row r="38" spans="1:12" ht="17.25" thickTop="1"/>
  </sheetData>
  <mergeCells count="1"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85"/>
  <sheetViews>
    <sheetView topLeftCell="A40" zoomScaleNormal="100" workbookViewId="0">
      <selection activeCell="O84" sqref="O84:T84"/>
    </sheetView>
  </sheetViews>
  <sheetFormatPr defaultColWidth="9" defaultRowHeight="16.5"/>
  <cols>
    <col min="1" max="1" width="13.875" style="13" customWidth="1"/>
    <col min="2" max="2" width="4.125" style="13" customWidth="1"/>
    <col min="3" max="4" width="3.625" style="13" customWidth="1"/>
    <col min="5" max="5" width="3.625" style="13" hidden="1" customWidth="1"/>
    <col min="6" max="6" width="18.25" style="13" customWidth="1"/>
    <col min="7" max="7" width="14.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4.5" style="16" bestFit="1" customWidth="1"/>
    <col min="24" max="25" width="5.625" style="16" customWidth="1"/>
    <col min="26" max="26" width="9" style="16" customWidth="1"/>
    <col min="27" max="27" width="5.625" style="13" customWidth="1"/>
    <col min="28" max="28" width="9" style="13" customWidth="1"/>
    <col min="29" max="30" width="5.625" style="13" customWidth="1"/>
    <col min="31" max="31" width="9" style="13" customWidth="1"/>
    <col min="32" max="32" width="5.625" style="13" customWidth="1"/>
    <col min="33" max="33" width="9" style="13" customWidth="1"/>
    <col min="34" max="34" width="11.625" style="13" bestFit="1" customWidth="1"/>
    <col min="35" max="252" width="9" style="13"/>
    <col min="253" max="253" width="14.875" style="13" customWidth="1"/>
    <col min="254" max="256" width="3.625" style="13" customWidth="1"/>
    <col min="257" max="258" width="12.625" style="13" customWidth="1"/>
    <col min="259" max="259" width="6" style="13" customWidth="1"/>
    <col min="260" max="260" width="12.625" style="13" customWidth="1"/>
    <col min="261" max="261" width="6" style="13" customWidth="1"/>
    <col min="262" max="271" width="3.875" style="13" customWidth="1"/>
    <col min="272" max="272" width="2.5" style="13" customWidth="1"/>
    <col min="273" max="273" width="12.375" style="13" customWidth="1"/>
    <col min="274" max="274" width="9.125" style="13" bestFit="1" customWidth="1"/>
    <col min="275" max="276" width="9" style="13"/>
    <col min="277" max="277" width="4.5" style="13" bestFit="1" customWidth="1"/>
    <col min="278" max="278" width="9" style="13"/>
    <col min="279" max="279" width="4.5" style="13" bestFit="1" customWidth="1"/>
    <col min="280" max="281" width="5.625" style="13" customWidth="1"/>
    <col min="282" max="282" width="9" style="13"/>
    <col min="283" max="283" width="5.625" style="13" customWidth="1"/>
    <col min="284" max="284" width="9" style="13"/>
    <col min="285" max="286" width="5.625" style="13" customWidth="1"/>
    <col min="287" max="287" width="9" style="13"/>
    <col min="288" max="288" width="5.625" style="13" customWidth="1"/>
    <col min="289" max="289" width="9" style="13"/>
    <col min="290" max="290" width="11.625" style="13" bestFit="1" customWidth="1"/>
    <col min="291" max="508" width="9" style="13"/>
    <col min="509" max="509" width="14.875" style="13" customWidth="1"/>
    <col min="510" max="512" width="3.625" style="13" customWidth="1"/>
    <col min="513" max="514" width="12.625" style="13" customWidth="1"/>
    <col min="515" max="515" width="6" style="13" customWidth="1"/>
    <col min="516" max="516" width="12.625" style="13" customWidth="1"/>
    <col min="517" max="517" width="6" style="13" customWidth="1"/>
    <col min="518" max="527" width="3.875" style="13" customWidth="1"/>
    <col min="528" max="528" width="2.5" style="13" customWidth="1"/>
    <col min="529" max="529" width="12.375" style="13" customWidth="1"/>
    <col min="530" max="530" width="9.125" style="13" bestFit="1" customWidth="1"/>
    <col min="531" max="532" width="9" style="13"/>
    <col min="533" max="533" width="4.5" style="13" bestFit="1" customWidth="1"/>
    <col min="534" max="534" width="9" style="13"/>
    <col min="535" max="535" width="4.5" style="13" bestFit="1" customWidth="1"/>
    <col min="536" max="537" width="5.625" style="13" customWidth="1"/>
    <col min="538" max="538" width="9" style="13"/>
    <col min="539" max="539" width="5.625" style="13" customWidth="1"/>
    <col min="540" max="540" width="9" style="13"/>
    <col min="541" max="542" width="5.625" style="13" customWidth="1"/>
    <col min="543" max="543" width="9" style="13"/>
    <col min="544" max="544" width="5.625" style="13" customWidth="1"/>
    <col min="545" max="545" width="9" style="13"/>
    <col min="546" max="546" width="11.625" style="13" bestFit="1" customWidth="1"/>
    <col min="547" max="764" width="9" style="13"/>
    <col min="765" max="765" width="14.875" style="13" customWidth="1"/>
    <col min="766" max="768" width="3.625" style="13" customWidth="1"/>
    <col min="769" max="770" width="12.625" style="13" customWidth="1"/>
    <col min="771" max="771" width="6" style="13" customWidth="1"/>
    <col min="772" max="772" width="12.625" style="13" customWidth="1"/>
    <col min="773" max="773" width="6" style="13" customWidth="1"/>
    <col min="774" max="783" width="3.875" style="13" customWidth="1"/>
    <col min="784" max="784" width="2.5" style="13" customWidth="1"/>
    <col min="785" max="785" width="12.375" style="13" customWidth="1"/>
    <col min="786" max="786" width="9.125" style="13" bestFit="1" customWidth="1"/>
    <col min="787" max="788" width="9" style="13"/>
    <col min="789" max="789" width="4.5" style="13" bestFit="1" customWidth="1"/>
    <col min="790" max="790" width="9" style="13"/>
    <col min="791" max="791" width="4.5" style="13" bestFit="1" customWidth="1"/>
    <col min="792" max="793" width="5.625" style="13" customWidth="1"/>
    <col min="794" max="794" width="9" style="13"/>
    <col min="795" max="795" width="5.625" style="13" customWidth="1"/>
    <col min="796" max="796" width="9" style="13"/>
    <col min="797" max="798" width="5.625" style="13" customWidth="1"/>
    <col min="799" max="799" width="9" style="13"/>
    <col min="800" max="800" width="5.625" style="13" customWidth="1"/>
    <col min="801" max="801" width="9" style="13"/>
    <col min="802" max="802" width="11.625" style="13" bestFit="1" customWidth="1"/>
    <col min="803" max="1020" width="9" style="13"/>
    <col min="1021" max="1021" width="14.875" style="13" customWidth="1"/>
    <col min="1022" max="1024" width="3.625" style="13" customWidth="1"/>
    <col min="1025" max="1026" width="12.625" style="13" customWidth="1"/>
    <col min="1027" max="1027" width="6" style="13" customWidth="1"/>
    <col min="1028" max="1028" width="12.625" style="13" customWidth="1"/>
    <col min="1029" max="1029" width="6" style="13" customWidth="1"/>
    <col min="1030" max="1039" width="3.875" style="13" customWidth="1"/>
    <col min="1040" max="1040" width="2.5" style="13" customWidth="1"/>
    <col min="1041" max="1041" width="12.375" style="13" customWidth="1"/>
    <col min="1042" max="1042" width="9.125" style="13" bestFit="1" customWidth="1"/>
    <col min="1043" max="1044" width="9" style="13"/>
    <col min="1045" max="1045" width="4.5" style="13" bestFit="1" customWidth="1"/>
    <col min="1046" max="1046" width="9" style="13"/>
    <col min="1047" max="1047" width="4.5" style="13" bestFit="1" customWidth="1"/>
    <col min="1048" max="1049" width="5.625" style="13" customWidth="1"/>
    <col min="1050" max="1050" width="9" style="13"/>
    <col min="1051" max="1051" width="5.625" style="13" customWidth="1"/>
    <col min="1052" max="1052" width="9" style="13"/>
    <col min="1053" max="1054" width="5.625" style="13" customWidth="1"/>
    <col min="1055" max="1055" width="9" style="13"/>
    <col min="1056" max="1056" width="5.625" style="13" customWidth="1"/>
    <col min="1057" max="1057" width="9" style="13"/>
    <col min="1058" max="1058" width="11.625" style="13" bestFit="1" customWidth="1"/>
    <col min="1059" max="1276" width="9" style="13"/>
    <col min="1277" max="1277" width="14.875" style="13" customWidth="1"/>
    <col min="1278" max="1280" width="3.625" style="13" customWidth="1"/>
    <col min="1281" max="1282" width="12.625" style="13" customWidth="1"/>
    <col min="1283" max="1283" width="6" style="13" customWidth="1"/>
    <col min="1284" max="1284" width="12.625" style="13" customWidth="1"/>
    <col min="1285" max="1285" width="6" style="13" customWidth="1"/>
    <col min="1286" max="1295" width="3.875" style="13" customWidth="1"/>
    <col min="1296" max="1296" width="2.5" style="13" customWidth="1"/>
    <col min="1297" max="1297" width="12.375" style="13" customWidth="1"/>
    <col min="1298" max="1298" width="9.125" style="13" bestFit="1" customWidth="1"/>
    <col min="1299" max="1300" width="9" style="13"/>
    <col min="1301" max="1301" width="4.5" style="13" bestFit="1" customWidth="1"/>
    <col min="1302" max="1302" width="9" style="13"/>
    <col min="1303" max="1303" width="4.5" style="13" bestFit="1" customWidth="1"/>
    <col min="1304" max="1305" width="5.625" style="13" customWidth="1"/>
    <col min="1306" max="1306" width="9" style="13"/>
    <col min="1307" max="1307" width="5.625" style="13" customWidth="1"/>
    <col min="1308" max="1308" width="9" style="13"/>
    <col min="1309" max="1310" width="5.625" style="13" customWidth="1"/>
    <col min="1311" max="1311" width="9" style="13"/>
    <col min="1312" max="1312" width="5.625" style="13" customWidth="1"/>
    <col min="1313" max="1313" width="9" style="13"/>
    <col min="1314" max="1314" width="11.625" style="13" bestFit="1" customWidth="1"/>
    <col min="1315" max="1532" width="9" style="13"/>
    <col min="1533" max="1533" width="14.875" style="13" customWidth="1"/>
    <col min="1534" max="1536" width="3.625" style="13" customWidth="1"/>
    <col min="1537" max="1538" width="12.625" style="13" customWidth="1"/>
    <col min="1539" max="1539" width="6" style="13" customWidth="1"/>
    <col min="1540" max="1540" width="12.625" style="13" customWidth="1"/>
    <col min="1541" max="1541" width="6" style="13" customWidth="1"/>
    <col min="1542" max="1551" width="3.875" style="13" customWidth="1"/>
    <col min="1552" max="1552" width="2.5" style="13" customWidth="1"/>
    <col min="1553" max="1553" width="12.375" style="13" customWidth="1"/>
    <col min="1554" max="1554" width="9.125" style="13" bestFit="1" customWidth="1"/>
    <col min="1555" max="1556" width="9" style="13"/>
    <col min="1557" max="1557" width="4.5" style="13" bestFit="1" customWidth="1"/>
    <col min="1558" max="1558" width="9" style="13"/>
    <col min="1559" max="1559" width="4.5" style="13" bestFit="1" customWidth="1"/>
    <col min="1560" max="1561" width="5.625" style="13" customWidth="1"/>
    <col min="1562" max="1562" width="9" style="13"/>
    <col min="1563" max="1563" width="5.625" style="13" customWidth="1"/>
    <col min="1564" max="1564" width="9" style="13"/>
    <col min="1565" max="1566" width="5.625" style="13" customWidth="1"/>
    <col min="1567" max="1567" width="9" style="13"/>
    <col min="1568" max="1568" width="5.625" style="13" customWidth="1"/>
    <col min="1569" max="1569" width="9" style="13"/>
    <col min="1570" max="1570" width="11.625" style="13" bestFit="1" customWidth="1"/>
    <col min="1571" max="1788" width="9" style="13"/>
    <col min="1789" max="1789" width="14.875" style="13" customWidth="1"/>
    <col min="1790" max="1792" width="3.625" style="13" customWidth="1"/>
    <col min="1793" max="1794" width="12.625" style="13" customWidth="1"/>
    <col min="1795" max="1795" width="6" style="13" customWidth="1"/>
    <col min="1796" max="1796" width="12.625" style="13" customWidth="1"/>
    <col min="1797" max="1797" width="6" style="13" customWidth="1"/>
    <col min="1798" max="1807" width="3.875" style="13" customWidth="1"/>
    <col min="1808" max="1808" width="2.5" style="13" customWidth="1"/>
    <col min="1809" max="1809" width="12.375" style="13" customWidth="1"/>
    <col min="1810" max="1810" width="9.125" style="13" bestFit="1" customWidth="1"/>
    <col min="1811" max="1812" width="9" style="13"/>
    <col min="1813" max="1813" width="4.5" style="13" bestFit="1" customWidth="1"/>
    <col min="1814" max="1814" width="9" style="13"/>
    <col min="1815" max="1815" width="4.5" style="13" bestFit="1" customWidth="1"/>
    <col min="1816" max="1817" width="5.625" style="13" customWidth="1"/>
    <col min="1818" max="1818" width="9" style="13"/>
    <col min="1819" max="1819" width="5.625" style="13" customWidth="1"/>
    <col min="1820" max="1820" width="9" style="13"/>
    <col min="1821" max="1822" width="5.625" style="13" customWidth="1"/>
    <col min="1823" max="1823" width="9" style="13"/>
    <col min="1824" max="1824" width="5.625" style="13" customWidth="1"/>
    <col min="1825" max="1825" width="9" style="13"/>
    <col min="1826" max="1826" width="11.625" style="13" bestFit="1" customWidth="1"/>
    <col min="1827" max="2044" width="9" style="13"/>
    <col min="2045" max="2045" width="14.875" style="13" customWidth="1"/>
    <col min="2046" max="2048" width="3.625" style="13" customWidth="1"/>
    <col min="2049" max="2050" width="12.625" style="13" customWidth="1"/>
    <col min="2051" max="2051" width="6" style="13" customWidth="1"/>
    <col min="2052" max="2052" width="12.625" style="13" customWidth="1"/>
    <col min="2053" max="2053" width="6" style="13" customWidth="1"/>
    <col min="2054" max="2063" width="3.875" style="13" customWidth="1"/>
    <col min="2064" max="2064" width="2.5" style="13" customWidth="1"/>
    <col min="2065" max="2065" width="12.375" style="13" customWidth="1"/>
    <col min="2066" max="2066" width="9.125" style="13" bestFit="1" customWidth="1"/>
    <col min="2067" max="2068" width="9" style="13"/>
    <col min="2069" max="2069" width="4.5" style="13" bestFit="1" customWidth="1"/>
    <col min="2070" max="2070" width="9" style="13"/>
    <col min="2071" max="2071" width="4.5" style="13" bestFit="1" customWidth="1"/>
    <col min="2072" max="2073" width="5.625" style="13" customWidth="1"/>
    <col min="2074" max="2074" width="9" style="13"/>
    <col min="2075" max="2075" width="5.625" style="13" customWidth="1"/>
    <col min="2076" max="2076" width="9" style="13"/>
    <col min="2077" max="2078" width="5.625" style="13" customWidth="1"/>
    <col min="2079" max="2079" width="9" style="13"/>
    <col min="2080" max="2080" width="5.625" style="13" customWidth="1"/>
    <col min="2081" max="2081" width="9" style="13"/>
    <col min="2082" max="2082" width="11.625" style="13" bestFit="1" customWidth="1"/>
    <col min="2083" max="2300" width="9" style="13"/>
    <col min="2301" max="2301" width="14.875" style="13" customWidth="1"/>
    <col min="2302" max="2304" width="3.625" style="13" customWidth="1"/>
    <col min="2305" max="2306" width="12.625" style="13" customWidth="1"/>
    <col min="2307" max="2307" width="6" style="13" customWidth="1"/>
    <col min="2308" max="2308" width="12.625" style="13" customWidth="1"/>
    <col min="2309" max="2309" width="6" style="13" customWidth="1"/>
    <col min="2310" max="2319" width="3.875" style="13" customWidth="1"/>
    <col min="2320" max="2320" width="2.5" style="13" customWidth="1"/>
    <col min="2321" max="2321" width="12.375" style="13" customWidth="1"/>
    <col min="2322" max="2322" width="9.125" style="13" bestFit="1" customWidth="1"/>
    <col min="2323" max="2324" width="9" style="13"/>
    <col min="2325" max="2325" width="4.5" style="13" bestFit="1" customWidth="1"/>
    <col min="2326" max="2326" width="9" style="13"/>
    <col min="2327" max="2327" width="4.5" style="13" bestFit="1" customWidth="1"/>
    <col min="2328" max="2329" width="5.625" style="13" customWidth="1"/>
    <col min="2330" max="2330" width="9" style="13"/>
    <col min="2331" max="2331" width="5.625" style="13" customWidth="1"/>
    <col min="2332" max="2332" width="9" style="13"/>
    <col min="2333" max="2334" width="5.625" style="13" customWidth="1"/>
    <col min="2335" max="2335" width="9" style="13"/>
    <col min="2336" max="2336" width="5.625" style="13" customWidth="1"/>
    <col min="2337" max="2337" width="9" style="13"/>
    <col min="2338" max="2338" width="11.625" style="13" bestFit="1" customWidth="1"/>
    <col min="2339" max="2556" width="9" style="13"/>
    <col min="2557" max="2557" width="14.875" style="13" customWidth="1"/>
    <col min="2558" max="2560" width="3.625" style="13" customWidth="1"/>
    <col min="2561" max="2562" width="12.625" style="13" customWidth="1"/>
    <col min="2563" max="2563" width="6" style="13" customWidth="1"/>
    <col min="2564" max="2564" width="12.625" style="13" customWidth="1"/>
    <col min="2565" max="2565" width="6" style="13" customWidth="1"/>
    <col min="2566" max="2575" width="3.875" style="13" customWidth="1"/>
    <col min="2576" max="2576" width="2.5" style="13" customWidth="1"/>
    <col min="2577" max="2577" width="12.375" style="13" customWidth="1"/>
    <col min="2578" max="2578" width="9.125" style="13" bestFit="1" customWidth="1"/>
    <col min="2579" max="2580" width="9" style="13"/>
    <col min="2581" max="2581" width="4.5" style="13" bestFit="1" customWidth="1"/>
    <col min="2582" max="2582" width="9" style="13"/>
    <col min="2583" max="2583" width="4.5" style="13" bestFit="1" customWidth="1"/>
    <col min="2584" max="2585" width="5.625" style="13" customWidth="1"/>
    <col min="2586" max="2586" width="9" style="13"/>
    <col min="2587" max="2587" width="5.625" style="13" customWidth="1"/>
    <col min="2588" max="2588" width="9" style="13"/>
    <col min="2589" max="2590" width="5.625" style="13" customWidth="1"/>
    <col min="2591" max="2591" width="9" style="13"/>
    <col min="2592" max="2592" width="5.625" style="13" customWidth="1"/>
    <col min="2593" max="2593" width="9" style="13"/>
    <col min="2594" max="2594" width="11.625" style="13" bestFit="1" customWidth="1"/>
    <col min="2595" max="2812" width="9" style="13"/>
    <col min="2813" max="2813" width="14.875" style="13" customWidth="1"/>
    <col min="2814" max="2816" width="3.625" style="13" customWidth="1"/>
    <col min="2817" max="2818" width="12.625" style="13" customWidth="1"/>
    <col min="2819" max="2819" width="6" style="13" customWidth="1"/>
    <col min="2820" max="2820" width="12.625" style="13" customWidth="1"/>
    <col min="2821" max="2821" width="6" style="13" customWidth="1"/>
    <col min="2822" max="2831" width="3.875" style="13" customWidth="1"/>
    <col min="2832" max="2832" width="2.5" style="13" customWidth="1"/>
    <col min="2833" max="2833" width="12.375" style="13" customWidth="1"/>
    <col min="2834" max="2834" width="9.125" style="13" bestFit="1" customWidth="1"/>
    <col min="2835" max="2836" width="9" style="13"/>
    <col min="2837" max="2837" width="4.5" style="13" bestFit="1" customWidth="1"/>
    <col min="2838" max="2838" width="9" style="13"/>
    <col min="2839" max="2839" width="4.5" style="13" bestFit="1" customWidth="1"/>
    <col min="2840" max="2841" width="5.625" style="13" customWidth="1"/>
    <col min="2842" max="2842" width="9" style="13"/>
    <col min="2843" max="2843" width="5.625" style="13" customWidth="1"/>
    <col min="2844" max="2844" width="9" style="13"/>
    <col min="2845" max="2846" width="5.625" style="13" customWidth="1"/>
    <col min="2847" max="2847" width="9" style="13"/>
    <col min="2848" max="2848" width="5.625" style="13" customWidth="1"/>
    <col min="2849" max="2849" width="9" style="13"/>
    <col min="2850" max="2850" width="11.625" style="13" bestFit="1" customWidth="1"/>
    <col min="2851" max="3068" width="9" style="13"/>
    <col min="3069" max="3069" width="14.875" style="13" customWidth="1"/>
    <col min="3070" max="3072" width="3.625" style="13" customWidth="1"/>
    <col min="3073" max="3074" width="12.625" style="13" customWidth="1"/>
    <col min="3075" max="3075" width="6" style="13" customWidth="1"/>
    <col min="3076" max="3076" width="12.625" style="13" customWidth="1"/>
    <col min="3077" max="3077" width="6" style="13" customWidth="1"/>
    <col min="3078" max="3087" width="3.875" style="13" customWidth="1"/>
    <col min="3088" max="3088" width="2.5" style="13" customWidth="1"/>
    <col min="3089" max="3089" width="12.375" style="13" customWidth="1"/>
    <col min="3090" max="3090" width="9.125" style="13" bestFit="1" customWidth="1"/>
    <col min="3091" max="3092" width="9" style="13"/>
    <col min="3093" max="3093" width="4.5" style="13" bestFit="1" customWidth="1"/>
    <col min="3094" max="3094" width="9" style="13"/>
    <col min="3095" max="3095" width="4.5" style="13" bestFit="1" customWidth="1"/>
    <col min="3096" max="3097" width="5.625" style="13" customWidth="1"/>
    <col min="3098" max="3098" width="9" style="13"/>
    <col min="3099" max="3099" width="5.625" style="13" customWidth="1"/>
    <col min="3100" max="3100" width="9" style="13"/>
    <col min="3101" max="3102" width="5.625" style="13" customWidth="1"/>
    <col min="3103" max="3103" width="9" style="13"/>
    <col min="3104" max="3104" width="5.625" style="13" customWidth="1"/>
    <col min="3105" max="3105" width="9" style="13"/>
    <col min="3106" max="3106" width="11.625" style="13" bestFit="1" customWidth="1"/>
    <col min="3107" max="3324" width="9" style="13"/>
    <col min="3325" max="3325" width="14.875" style="13" customWidth="1"/>
    <col min="3326" max="3328" width="3.625" style="13" customWidth="1"/>
    <col min="3329" max="3330" width="12.625" style="13" customWidth="1"/>
    <col min="3331" max="3331" width="6" style="13" customWidth="1"/>
    <col min="3332" max="3332" width="12.625" style="13" customWidth="1"/>
    <col min="3333" max="3333" width="6" style="13" customWidth="1"/>
    <col min="3334" max="3343" width="3.875" style="13" customWidth="1"/>
    <col min="3344" max="3344" width="2.5" style="13" customWidth="1"/>
    <col min="3345" max="3345" width="12.375" style="13" customWidth="1"/>
    <col min="3346" max="3346" width="9.125" style="13" bestFit="1" customWidth="1"/>
    <col min="3347" max="3348" width="9" style="13"/>
    <col min="3349" max="3349" width="4.5" style="13" bestFit="1" customWidth="1"/>
    <col min="3350" max="3350" width="9" style="13"/>
    <col min="3351" max="3351" width="4.5" style="13" bestFit="1" customWidth="1"/>
    <col min="3352" max="3353" width="5.625" style="13" customWidth="1"/>
    <col min="3354" max="3354" width="9" style="13"/>
    <col min="3355" max="3355" width="5.625" style="13" customWidth="1"/>
    <col min="3356" max="3356" width="9" style="13"/>
    <col min="3357" max="3358" width="5.625" style="13" customWidth="1"/>
    <col min="3359" max="3359" width="9" style="13"/>
    <col min="3360" max="3360" width="5.625" style="13" customWidth="1"/>
    <col min="3361" max="3361" width="9" style="13"/>
    <col min="3362" max="3362" width="11.625" style="13" bestFit="1" customWidth="1"/>
    <col min="3363" max="3580" width="9" style="13"/>
    <col min="3581" max="3581" width="14.875" style="13" customWidth="1"/>
    <col min="3582" max="3584" width="3.625" style="13" customWidth="1"/>
    <col min="3585" max="3586" width="12.625" style="13" customWidth="1"/>
    <col min="3587" max="3587" width="6" style="13" customWidth="1"/>
    <col min="3588" max="3588" width="12.625" style="13" customWidth="1"/>
    <col min="3589" max="3589" width="6" style="13" customWidth="1"/>
    <col min="3590" max="3599" width="3.875" style="13" customWidth="1"/>
    <col min="3600" max="3600" width="2.5" style="13" customWidth="1"/>
    <col min="3601" max="3601" width="12.375" style="13" customWidth="1"/>
    <col min="3602" max="3602" width="9.125" style="13" bestFit="1" customWidth="1"/>
    <col min="3603" max="3604" width="9" style="13"/>
    <col min="3605" max="3605" width="4.5" style="13" bestFit="1" customWidth="1"/>
    <col min="3606" max="3606" width="9" style="13"/>
    <col min="3607" max="3607" width="4.5" style="13" bestFit="1" customWidth="1"/>
    <col min="3608" max="3609" width="5.625" style="13" customWidth="1"/>
    <col min="3610" max="3610" width="9" style="13"/>
    <col min="3611" max="3611" width="5.625" style="13" customWidth="1"/>
    <col min="3612" max="3612" width="9" style="13"/>
    <col min="3613" max="3614" width="5.625" style="13" customWidth="1"/>
    <col min="3615" max="3615" width="9" style="13"/>
    <col min="3616" max="3616" width="5.625" style="13" customWidth="1"/>
    <col min="3617" max="3617" width="9" style="13"/>
    <col min="3618" max="3618" width="11.625" style="13" bestFit="1" customWidth="1"/>
    <col min="3619" max="3836" width="9" style="13"/>
    <col min="3837" max="3837" width="14.875" style="13" customWidth="1"/>
    <col min="3838" max="3840" width="3.625" style="13" customWidth="1"/>
    <col min="3841" max="3842" width="12.625" style="13" customWidth="1"/>
    <col min="3843" max="3843" width="6" style="13" customWidth="1"/>
    <col min="3844" max="3844" width="12.625" style="13" customWidth="1"/>
    <col min="3845" max="3845" width="6" style="13" customWidth="1"/>
    <col min="3846" max="3855" width="3.875" style="13" customWidth="1"/>
    <col min="3856" max="3856" width="2.5" style="13" customWidth="1"/>
    <col min="3857" max="3857" width="12.375" style="13" customWidth="1"/>
    <col min="3858" max="3858" width="9.125" style="13" bestFit="1" customWidth="1"/>
    <col min="3859" max="3860" width="9" style="13"/>
    <col min="3861" max="3861" width="4.5" style="13" bestFit="1" customWidth="1"/>
    <col min="3862" max="3862" width="9" style="13"/>
    <col min="3863" max="3863" width="4.5" style="13" bestFit="1" customWidth="1"/>
    <col min="3864" max="3865" width="5.625" style="13" customWidth="1"/>
    <col min="3866" max="3866" width="9" style="13"/>
    <col min="3867" max="3867" width="5.625" style="13" customWidth="1"/>
    <col min="3868" max="3868" width="9" style="13"/>
    <col min="3869" max="3870" width="5.625" style="13" customWidth="1"/>
    <col min="3871" max="3871" width="9" style="13"/>
    <col min="3872" max="3872" width="5.625" style="13" customWidth="1"/>
    <col min="3873" max="3873" width="9" style="13"/>
    <col min="3874" max="3874" width="11.625" style="13" bestFit="1" customWidth="1"/>
    <col min="3875" max="4092" width="9" style="13"/>
    <col min="4093" max="4093" width="14.875" style="13" customWidth="1"/>
    <col min="4094" max="4096" width="3.625" style="13" customWidth="1"/>
    <col min="4097" max="4098" width="12.625" style="13" customWidth="1"/>
    <col min="4099" max="4099" width="6" style="13" customWidth="1"/>
    <col min="4100" max="4100" width="12.625" style="13" customWidth="1"/>
    <col min="4101" max="4101" width="6" style="13" customWidth="1"/>
    <col min="4102" max="4111" width="3.875" style="13" customWidth="1"/>
    <col min="4112" max="4112" width="2.5" style="13" customWidth="1"/>
    <col min="4113" max="4113" width="12.375" style="13" customWidth="1"/>
    <col min="4114" max="4114" width="9.125" style="13" bestFit="1" customWidth="1"/>
    <col min="4115" max="4116" width="9" style="13"/>
    <col min="4117" max="4117" width="4.5" style="13" bestFit="1" customWidth="1"/>
    <col min="4118" max="4118" width="9" style="13"/>
    <col min="4119" max="4119" width="4.5" style="13" bestFit="1" customWidth="1"/>
    <col min="4120" max="4121" width="5.625" style="13" customWidth="1"/>
    <col min="4122" max="4122" width="9" style="13"/>
    <col min="4123" max="4123" width="5.625" style="13" customWidth="1"/>
    <col min="4124" max="4124" width="9" style="13"/>
    <col min="4125" max="4126" width="5.625" style="13" customWidth="1"/>
    <col min="4127" max="4127" width="9" style="13"/>
    <col min="4128" max="4128" width="5.625" style="13" customWidth="1"/>
    <col min="4129" max="4129" width="9" style="13"/>
    <col min="4130" max="4130" width="11.625" style="13" bestFit="1" customWidth="1"/>
    <col min="4131" max="4348" width="9" style="13"/>
    <col min="4349" max="4349" width="14.875" style="13" customWidth="1"/>
    <col min="4350" max="4352" width="3.625" style="13" customWidth="1"/>
    <col min="4353" max="4354" width="12.625" style="13" customWidth="1"/>
    <col min="4355" max="4355" width="6" style="13" customWidth="1"/>
    <col min="4356" max="4356" width="12.625" style="13" customWidth="1"/>
    <col min="4357" max="4357" width="6" style="13" customWidth="1"/>
    <col min="4358" max="4367" width="3.875" style="13" customWidth="1"/>
    <col min="4368" max="4368" width="2.5" style="13" customWidth="1"/>
    <col min="4369" max="4369" width="12.375" style="13" customWidth="1"/>
    <col min="4370" max="4370" width="9.125" style="13" bestFit="1" customWidth="1"/>
    <col min="4371" max="4372" width="9" style="13"/>
    <col min="4373" max="4373" width="4.5" style="13" bestFit="1" customWidth="1"/>
    <col min="4374" max="4374" width="9" style="13"/>
    <col min="4375" max="4375" width="4.5" style="13" bestFit="1" customWidth="1"/>
    <col min="4376" max="4377" width="5.625" style="13" customWidth="1"/>
    <col min="4378" max="4378" width="9" style="13"/>
    <col min="4379" max="4379" width="5.625" style="13" customWidth="1"/>
    <col min="4380" max="4380" width="9" style="13"/>
    <col min="4381" max="4382" width="5.625" style="13" customWidth="1"/>
    <col min="4383" max="4383" width="9" style="13"/>
    <col min="4384" max="4384" width="5.625" style="13" customWidth="1"/>
    <col min="4385" max="4385" width="9" style="13"/>
    <col min="4386" max="4386" width="11.625" style="13" bestFit="1" customWidth="1"/>
    <col min="4387" max="4604" width="9" style="13"/>
    <col min="4605" max="4605" width="14.875" style="13" customWidth="1"/>
    <col min="4606" max="4608" width="3.625" style="13" customWidth="1"/>
    <col min="4609" max="4610" width="12.625" style="13" customWidth="1"/>
    <col min="4611" max="4611" width="6" style="13" customWidth="1"/>
    <col min="4612" max="4612" width="12.625" style="13" customWidth="1"/>
    <col min="4613" max="4613" width="6" style="13" customWidth="1"/>
    <col min="4614" max="4623" width="3.875" style="13" customWidth="1"/>
    <col min="4624" max="4624" width="2.5" style="13" customWidth="1"/>
    <col min="4625" max="4625" width="12.375" style="13" customWidth="1"/>
    <col min="4626" max="4626" width="9.125" style="13" bestFit="1" customWidth="1"/>
    <col min="4627" max="4628" width="9" style="13"/>
    <col min="4629" max="4629" width="4.5" style="13" bestFit="1" customWidth="1"/>
    <col min="4630" max="4630" width="9" style="13"/>
    <col min="4631" max="4631" width="4.5" style="13" bestFit="1" customWidth="1"/>
    <col min="4632" max="4633" width="5.625" style="13" customWidth="1"/>
    <col min="4634" max="4634" width="9" style="13"/>
    <col min="4635" max="4635" width="5.625" style="13" customWidth="1"/>
    <col min="4636" max="4636" width="9" style="13"/>
    <col min="4637" max="4638" width="5.625" style="13" customWidth="1"/>
    <col min="4639" max="4639" width="9" style="13"/>
    <col min="4640" max="4640" width="5.625" style="13" customWidth="1"/>
    <col min="4641" max="4641" width="9" style="13"/>
    <col min="4642" max="4642" width="11.625" style="13" bestFit="1" customWidth="1"/>
    <col min="4643" max="4860" width="9" style="13"/>
    <col min="4861" max="4861" width="14.875" style="13" customWidth="1"/>
    <col min="4862" max="4864" width="3.625" style="13" customWidth="1"/>
    <col min="4865" max="4866" width="12.625" style="13" customWidth="1"/>
    <col min="4867" max="4867" width="6" style="13" customWidth="1"/>
    <col min="4868" max="4868" width="12.625" style="13" customWidth="1"/>
    <col min="4869" max="4869" width="6" style="13" customWidth="1"/>
    <col min="4870" max="4879" width="3.875" style="13" customWidth="1"/>
    <col min="4880" max="4880" width="2.5" style="13" customWidth="1"/>
    <col min="4881" max="4881" width="12.375" style="13" customWidth="1"/>
    <col min="4882" max="4882" width="9.125" style="13" bestFit="1" customWidth="1"/>
    <col min="4883" max="4884" width="9" style="13"/>
    <col min="4885" max="4885" width="4.5" style="13" bestFit="1" customWidth="1"/>
    <col min="4886" max="4886" width="9" style="13"/>
    <col min="4887" max="4887" width="4.5" style="13" bestFit="1" customWidth="1"/>
    <col min="4888" max="4889" width="5.625" style="13" customWidth="1"/>
    <col min="4890" max="4890" width="9" style="13"/>
    <col min="4891" max="4891" width="5.625" style="13" customWidth="1"/>
    <col min="4892" max="4892" width="9" style="13"/>
    <col min="4893" max="4894" width="5.625" style="13" customWidth="1"/>
    <col min="4895" max="4895" width="9" style="13"/>
    <col min="4896" max="4896" width="5.625" style="13" customWidth="1"/>
    <col min="4897" max="4897" width="9" style="13"/>
    <col min="4898" max="4898" width="11.625" style="13" bestFit="1" customWidth="1"/>
    <col min="4899" max="5116" width="9" style="13"/>
    <col min="5117" max="5117" width="14.875" style="13" customWidth="1"/>
    <col min="5118" max="5120" width="3.625" style="13" customWidth="1"/>
    <col min="5121" max="5122" width="12.625" style="13" customWidth="1"/>
    <col min="5123" max="5123" width="6" style="13" customWidth="1"/>
    <col min="5124" max="5124" width="12.625" style="13" customWidth="1"/>
    <col min="5125" max="5125" width="6" style="13" customWidth="1"/>
    <col min="5126" max="5135" width="3.875" style="13" customWidth="1"/>
    <col min="5136" max="5136" width="2.5" style="13" customWidth="1"/>
    <col min="5137" max="5137" width="12.375" style="13" customWidth="1"/>
    <col min="5138" max="5138" width="9.125" style="13" bestFit="1" customWidth="1"/>
    <col min="5139" max="5140" width="9" style="13"/>
    <col min="5141" max="5141" width="4.5" style="13" bestFit="1" customWidth="1"/>
    <col min="5142" max="5142" width="9" style="13"/>
    <col min="5143" max="5143" width="4.5" style="13" bestFit="1" customWidth="1"/>
    <col min="5144" max="5145" width="5.625" style="13" customWidth="1"/>
    <col min="5146" max="5146" width="9" style="13"/>
    <col min="5147" max="5147" width="5.625" style="13" customWidth="1"/>
    <col min="5148" max="5148" width="9" style="13"/>
    <col min="5149" max="5150" width="5.625" style="13" customWidth="1"/>
    <col min="5151" max="5151" width="9" style="13"/>
    <col min="5152" max="5152" width="5.625" style="13" customWidth="1"/>
    <col min="5153" max="5153" width="9" style="13"/>
    <col min="5154" max="5154" width="11.625" style="13" bestFit="1" customWidth="1"/>
    <col min="5155" max="5372" width="9" style="13"/>
    <col min="5373" max="5373" width="14.875" style="13" customWidth="1"/>
    <col min="5374" max="5376" width="3.625" style="13" customWidth="1"/>
    <col min="5377" max="5378" width="12.625" style="13" customWidth="1"/>
    <col min="5379" max="5379" width="6" style="13" customWidth="1"/>
    <col min="5380" max="5380" width="12.625" style="13" customWidth="1"/>
    <col min="5381" max="5381" width="6" style="13" customWidth="1"/>
    <col min="5382" max="5391" width="3.875" style="13" customWidth="1"/>
    <col min="5392" max="5392" width="2.5" style="13" customWidth="1"/>
    <col min="5393" max="5393" width="12.375" style="13" customWidth="1"/>
    <col min="5394" max="5394" width="9.125" style="13" bestFit="1" customWidth="1"/>
    <col min="5395" max="5396" width="9" style="13"/>
    <col min="5397" max="5397" width="4.5" style="13" bestFit="1" customWidth="1"/>
    <col min="5398" max="5398" width="9" style="13"/>
    <col min="5399" max="5399" width="4.5" style="13" bestFit="1" customWidth="1"/>
    <col min="5400" max="5401" width="5.625" style="13" customWidth="1"/>
    <col min="5402" max="5402" width="9" style="13"/>
    <col min="5403" max="5403" width="5.625" style="13" customWidth="1"/>
    <col min="5404" max="5404" width="9" style="13"/>
    <col min="5405" max="5406" width="5.625" style="13" customWidth="1"/>
    <col min="5407" max="5407" width="9" style="13"/>
    <col min="5408" max="5408" width="5.625" style="13" customWidth="1"/>
    <col min="5409" max="5409" width="9" style="13"/>
    <col min="5410" max="5410" width="11.625" style="13" bestFit="1" customWidth="1"/>
    <col min="5411" max="5628" width="9" style="13"/>
    <col min="5629" max="5629" width="14.875" style="13" customWidth="1"/>
    <col min="5630" max="5632" width="3.625" style="13" customWidth="1"/>
    <col min="5633" max="5634" width="12.625" style="13" customWidth="1"/>
    <col min="5635" max="5635" width="6" style="13" customWidth="1"/>
    <col min="5636" max="5636" width="12.625" style="13" customWidth="1"/>
    <col min="5637" max="5637" width="6" style="13" customWidth="1"/>
    <col min="5638" max="5647" width="3.875" style="13" customWidth="1"/>
    <col min="5648" max="5648" width="2.5" style="13" customWidth="1"/>
    <col min="5649" max="5649" width="12.375" style="13" customWidth="1"/>
    <col min="5650" max="5650" width="9.125" style="13" bestFit="1" customWidth="1"/>
    <col min="5651" max="5652" width="9" style="13"/>
    <col min="5653" max="5653" width="4.5" style="13" bestFit="1" customWidth="1"/>
    <col min="5654" max="5654" width="9" style="13"/>
    <col min="5655" max="5655" width="4.5" style="13" bestFit="1" customWidth="1"/>
    <col min="5656" max="5657" width="5.625" style="13" customWidth="1"/>
    <col min="5658" max="5658" width="9" style="13"/>
    <col min="5659" max="5659" width="5.625" style="13" customWidth="1"/>
    <col min="5660" max="5660" width="9" style="13"/>
    <col min="5661" max="5662" width="5.625" style="13" customWidth="1"/>
    <col min="5663" max="5663" width="9" style="13"/>
    <col min="5664" max="5664" width="5.625" style="13" customWidth="1"/>
    <col min="5665" max="5665" width="9" style="13"/>
    <col min="5666" max="5666" width="11.625" style="13" bestFit="1" customWidth="1"/>
    <col min="5667" max="5884" width="9" style="13"/>
    <col min="5885" max="5885" width="14.875" style="13" customWidth="1"/>
    <col min="5886" max="5888" width="3.625" style="13" customWidth="1"/>
    <col min="5889" max="5890" width="12.625" style="13" customWidth="1"/>
    <col min="5891" max="5891" width="6" style="13" customWidth="1"/>
    <col min="5892" max="5892" width="12.625" style="13" customWidth="1"/>
    <col min="5893" max="5893" width="6" style="13" customWidth="1"/>
    <col min="5894" max="5903" width="3.875" style="13" customWidth="1"/>
    <col min="5904" max="5904" width="2.5" style="13" customWidth="1"/>
    <col min="5905" max="5905" width="12.375" style="13" customWidth="1"/>
    <col min="5906" max="5906" width="9.125" style="13" bestFit="1" customWidth="1"/>
    <col min="5907" max="5908" width="9" style="13"/>
    <col min="5909" max="5909" width="4.5" style="13" bestFit="1" customWidth="1"/>
    <col min="5910" max="5910" width="9" style="13"/>
    <col min="5911" max="5911" width="4.5" style="13" bestFit="1" customWidth="1"/>
    <col min="5912" max="5913" width="5.625" style="13" customWidth="1"/>
    <col min="5914" max="5914" width="9" style="13"/>
    <col min="5915" max="5915" width="5.625" style="13" customWidth="1"/>
    <col min="5916" max="5916" width="9" style="13"/>
    <col min="5917" max="5918" width="5.625" style="13" customWidth="1"/>
    <col min="5919" max="5919" width="9" style="13"/>
    <col min="5920" max="5920" width="5.625" style="13" customWidth="1"/>
    <col min="5921" max="5921" width="9" style="13"/>
    <col min="5922" max="5922" width="11.625" style="13" bestFit="1" customWidth="1"/>
    <col min="5923" max="6140" width="9" style="13"/>
    <col min="6141" max="6141" width="14.875" style="13" customWidth="1"/>
    <col min="6142" max="6144" width="3.625" style="13" customWidth="1"/>
    <col min="6145" max="6146" width="12.625" style="13" customWidth="1"/>
    <col min="6147" max="6147" width="6" style="13" customWidth="1"/>
    <col min="6148" max="6148" width="12.625" style="13" customWidth="1"/>
    <col min="6149" max="6149" width="6" style="13" customWidth="1"/>
    <col min="6150" max="6159" width="3.875" style="13" customWidth="1"/>
    <col min="6160" max="6160" width="2.5" style="13" customWidth="1"/>
    <col min="6161" max="6161" width="12.375" style="13" customWidth="1"/>
    <col min="6162" max="6162" width="9.125" style="13" bestFit="1" customWidth="1"/>
    <col min="6163" max="6164" width="9" style="13"/>
    <col min="6165" max="6165" width="4.5" style="13" bestFit="1" customWidth="1"/>
    <col min="6166" max="6166" width="9" style="13"/>
    <col min="6167" max="6167" width="4.5" style="13" bestFit="1" customWidth="1"/>
    <col min="6168" max="6169" width="5.625" style="13" customWidth="1"/>
    <col min="6170" max="6170" width="9" style="13"/>
    <col min="6171" max="6171" width="5.625" style="13" customWidth="1"/>
    <col min="6172" max="6172" width="9" style="13"/>
    <col min="6173" max="6174" width="5.625" style="13" customWidth="1"/>
    <col min="6175" max="6175" width="9" style="13"/>
    <col min="6176" max="6176" width="5.625" style="13" customWidth="1"/>
    <col min="6177" max="6177" width="9" style="13"/>
    <col min="6178" max="6178" width="11.625" style="13" bestFit="1" customWidth="1"/>
    <col min="6179" max="6396" width="9" style="13"/>
    <col min="6397" max="6397" width="14.875" style="13" customWidth="1"/>
    <col min="6398" max="6400" width="3.625" style="13" customWidth="1"/>
    <col min="6401" max="6402" width="12.625" style="13" customWidth="1"/>
    <col min="6403" max="6403" width="6" style="13" customWidth="1"/>
    <col min="6404" max="6404" width="12.625" style="13" customWidth="1"/>
    <col min="6405" max="6405" width="6" style="13" customWidth="1"/>
    <col min="6406" max="6415" width="3.875" style="13" customWidth="1"/>
    <col min="6416" max="6416" width="2.5" style="13" customWidth="1"/>
    <col min="6417" max="6417" width="12.375" style="13" customWidth="1"/>
    <col min="6418" max="6418" width="9.125" style="13" bestFit="1" customWidth="1"/>
    <col min="6419" max="6420" width="9" style="13"/>
    <col min="6421" max="6421" width="4.5" style="13" bestFit="1" customWidth="1"/>
    <col min="6422" max="6422" width="9" style="13"/>
    <col min="6423" max="6423" width="4.5" style="13" bestFit="1" customWidth="1"/>
    <col min="6424" max="6425" width="5.625" style="13" customWidth="1"/>
    <col min="6426" max="6426" width="9" style="13"/>
    <col min="6427" max="6427" width="5.625" style="13" customWidth="1"/>
    <col min="6428" max="6428" width="9" style="13"/>
    <col min="6429" max="6430" width="5.625" style="13" customWidth="1"/>
    <col min="6431" max="6431" width="9" style="13"/>
    <col min="6432" max="6432" width="5.625" style="13" customWidth="1"/>
    <col min="6433" max="6433" width="9" style="13"/>
    <col min="6434" max="6434" width="11.625" style="13" bestFit="1" customWidth="1"/>
    <col min="6435" max="6652" width="9" style="13"/>
    <col min="6653" max="6653" width="14.875" style="13" customWidth="1"/>
    <col min="6654" max="6656" width="3.625" style="13" customWidth="1"/>
    <col min="6657" max="6658" width="12.625" style="13" customWidth="1"/>
    <col min="6659" max="6659" width="6" style="13" customWidth="1"/>
    <col min="6660" max="6660" width="12.625" style="13" customWidth="1"/>
    <col min="6661" max="6661" width="6" style="13" customWidth="1"/>
    <col min="6662" max="6671" width="3.875" style="13" customWidth="1"/>
    <col min="6672" max="6672" width="2.5" style="13" customWidth="1"/>
    <col min="6673" max="6673" width="12.375" style="13" customWidth="1"/>
    <col min="6674" max="6674" width="9.125" style="13" bestFit="1" customWidth="1"/>
    <col min="6675" max="6676" width="9" style="13"/>
    <col min="6677" max="6677" width="4.5" style="13" bestFit="1" customWidth="1"/>
    <col min="6678" max="6678" width="9" style="13"/>
    <col min="6679" max="6679" width="4.5" style="13" bestFit="1" customWidth="1"/>
    <col min="6680" max="6681" width="5.625" style="13" customWidth="1"/>
    <col min="6682" max="6682" width="9" style="13"/>
    <col min="6683" max="6683" width="5.625" style="13" customWidth="1"/>
    <col min="6684" max="6684" width="9" style="13"/>
    <col min="6685" max="6686" width="5.625" style="13" customWidth="1"/>
    <col min="6687" max="6687" width="9" style="13"/>
    <col min="6688" max="6688" width="5.625" style="13" customWidth="1"/>
    <col min="6689" max="6689" width="9" style="13"/>
    <col min="6690" max="6690" width="11.625" style="13" bestFit="1" customWidth="1"/>
    <col min="6691" max="6908" width="9" style="13"/>
    <col min="6909" max="6909" width="14.875" style="13" customWidth="1"/>
    <col min="6910" max="6912" width="3.625" style="13" customWidth="1"/>
    <col min="6913" max="6914" width="12.625" style="13" customWidth="1"/>
    <col min="6915" max="6915" width="6" style="13" customWidth="1"/>
    <col min="6916" max="6916" width="12.625" style="13" customWidth="1"/>
    <col min="6917" max="6917" width="6" style="13" customWidth="1"/>
    <col min="6918" max="6927" width="3.875" style="13" customWidth="1"/>
    <col min="6928" max="6928" width="2.5" style="13" customWidth="1"/>
    <col min="6929" max="6929" width="12.375" style="13" customWidth="1"/>
    <col min="6930" max="6930" width="9.125" style="13" bestFit="1" customWidth="1"/>
    <col min="6931" max="6932" width="9" style="13"/>
    <col min="6933" max="6933" width="4.5" style="13" bestFit="1" customWidth="1"/>
    <col min="6934" max="6934" width="9" style="13"/>
    <col min="6935" max="6935" width="4.5" style="13" bestFit="1" customWidth="1"/>
    <col min="6936" max="6937" width="5.625" style="13" customWidth="1"/>
    <col min="6938" max="6938" width="9" style="13"/>
    <col min="6939" max="6939" width="5.625" style="13" customWidth="1"/>
    <col min="6940" max="6940" width="9" style="13"/>
    <col min="6941" max="6942" width="5.625" style="13" customWidth="1"/>
    <col min="6943" max="6943" width="9" style="13"/>
    <col min="6944" max="6944" width="5.625" style="13" customWidth="1"/>
    <col min="6945" max="6945" width="9" style="13"/>
    <col min="6946" max="6946" width="11.625" style="13" bestFit="1" customWidth="1"/>
    <col min="6947" max="7164" width="9" style="13"/>
    <col min="7165" max="7165" width="14.875" style="13" customWidth="1"/>
    <col min="7166" max="7168" width="3.625" style="13" customWidth="1"/>
    <col min="7169" max="7170" width="12.625" style="13" customWidth="1"/>
    <col min="7171" max="7171" width="6" style="13" customWidth="1"/>
    <col min="7172" max="7172" width="12.625" style="13" customWidth="1"/>
    <col min="7173" max="7173" width="6" style="13" customWidth="1"/>
    <col min="7174" max="7183" width="3.875" style="13" customWidth="1"/>
    <col min="7184" max="7184" width="2.5" style="13" customWidth="1"/>
    <col min="7185" max="7185" width="12.375" style="13" customWidth="1"/>
    <col min="7186" max="7186" width="9.125" style="13" bestFit="1" customWidth="1"/>
    <col min="7187" max="7188" width="9" style="13"/>
    <col min="7189" max="7189" width="4.5" style="13" bestFit="1" customWidth="1"/>
    <col min="7190" max="7190" width="9" style="13"/>
    <col min="7191" max="7191" width="4.5" style="13" bestFit="1" customWidth="1"/>
    <col min="7192" max="7193" width="5.625" style="13" customWidth="1"/>
    <col min="7194" max="7194" width="9" style="13"/>
    <col min="7195" max="7195" width="5.625" style="13" customWidth="1"/>
    <col min="7196" max="7196" width="9" style="13"/>
    <col min="7197" max="7198" width="5.625" style="13" customWidth="1"/>
    <col min="7199" max="7199" width="9" style="13"/>
    <col min="7200" max="7200" width="5.625" style="13" customWidth="1"/>
    <col min="7201" max="7201" width="9" style="13"/>
    <col min="7202" max="7202" width="11.625" style="13" bestFit="1" customWidth="1"/>
    <col min="7203" max="7420" width="9" style="13"/>
    <col min="7421" max="7421" width="14.875" style="13" customWidth="1"/>
    <col min="7422" max="7424" width="3.625" style="13" customWidth="1"/>
    <col min="7425" max="7426" width="12.625" style="13" customWidth="1"/>
    <col min="7427" max="7427" width="6" style="13" customWidth="1"/>
    <col min="7428" max="7428" width="12.625" style="13" customWidth="1"/>
    <col min="7429" max="7429" width="6" style="13" customWidth="1"/>
    <col min="7430" max="7439" width="3.875" style="13" customWidth="1"/>
    <col min="7440" max="7440" width="2.5" style="13" customWidth="1"/>
    <col min="7441" max="7441" width="12.375" style="13" customWidth="1"/>
    <col min="7442" max="7442" width="9.125" style="13" bestFit="1" customWidth="1"/>
    <col min="7443" max="7444" width="9" style="13"/>
    <col min="7445" max="7445" width="4.5" style="13" bestFit="1" customWidth="1"/>
    <col min="7446" max="7446" width="9" style="13"/>
    <col min="7447" max="7447" width="4.5" style="13" bestFit="1" customWidth="1"/>
    <col min="7448" max="7449" width="5.625" style="13" customWidth="1"/>
    <col min="7450" max="7450" width="9" style="13"/>
    <col min="7451" max="7451" width="5.625" style="13" customWidth="1"/>
    <col min="7452" max="7452" width="9" style="13"/>
    <col min="7453" max="7454" width="5.625" style="13" customWidth="1"/>
    <col min="7455" max="7455" width="9" style="13"/>
    <col min="7456" max="7456" width="5.625" style="13" customWidth="1"/>
    <col min="7457" max="7457" width="9" style="13"/>
    <col min="7458" max="7458" width="11.625" style="13" bestFit="1" customWidth="1"/>
    <col min="7459" max="7676" width="9" style="13"/>
    <col min="7677" max="7677" width="14.875" style="13" customWidth="1"/>
    <col min="7678" max="7680" width="3.625" style="13" customWidth="1"/>
    <col min="7681" max="7682" width="12.625" style="13" customWidth="1"/>
    <col min="7683" max="7683" width="6" style="13" customWidth="1"/>
    <col min="7684" max="7684" width="12.625" style="13" customWidth="1"/>
    <col min="7685" max="7685" width="6" style="13" customWidth="1"/>
    <col min="7686" max="7695" width="3.875" style="13" customWidth="1"/>
    <col min="7696" max="7696" width="2.5" style="13" customWidth="1"/>
    <col min="7697" max="7697" width="12.375" style="13" customWidth="1"/>
    <col min="7698" max="7698" width="9.125" style="13" bestFit="1" customWidth="1"/>
    <col min="7699" max="7700" width="9" style="13"/>
    <col min="7701" max="7701" width="4.5" style="13" bestFit="1" customWidth="1"/>
    <col min="7702" max="7702" width="9" style="13"/>
    <col min="7703" max="7703" width="4.5" style="13" bestFit="1" customWidth="1"/>
    <col min="7704" max="7705" width="5.625" style="13" customWidth="1"/>
    <col min="7706" max="7706" width="9" style="13"/>
    <col min="7707" max="7707" width="5.625" style="13" customWidth="1"/>
    <col min="7708" max="7708" width="9" style="13"/>
    <col min="7709" max="7710" width="5.625" style="13" customWidth="1"/>
    <col min="7711" max="7711" width="9" style="13"/>
    <col min="7712" max="7712" width="5.625" style="13" customWidth="1"/>
    <col min="7713" max="7713" width="9" style="13"/>
    <col min="7714" max="7714" width="11.625" style="13" bestFit="1" customWidth="1"/>
    <col min="7715" max="7932" width="9" style="13"/>
    <col min="7933" max="7933" width="14.875" style="13" customWidth="1"/>
    <col min="7934" max="7936" width="3.625" style="13" customWidth="1"/>
    <col min="7937" max="7938" width="12.625" style="13" customWidth="1"/>
    <col min="7939" max="7939" width="6" style="13" customWidth="1"/>
    <col min="7940" max="7940" width="12.625" style="13" customWidth="1"/>
    <col min="7941" max="7941" width="6" style="13" customWidth="1"/>
    <col min="7942" max="7951" width="3.875" style="13" customWidth="1"/>
    <col min="7952" max="7952" width="2.5" style="13" customWidth="1"/>
    <col min="7953" max="7953" width="12.375" style="13" customWidth="1"/>
    <col min="7954" max="7954" width="9.125" style="13" bestFit="1" customWidth="1"/>
    <col min="7955" max="7956" width="9" style="13"/>
    <col min="7957" max="7957" width="4.5" style="13" bestFit="1" customWidth="1"/>
    <col min="7958" max="7958" width="9" style="13"/>
    <col min="7959" max="7959" width="4.5" style="13" bestFit="1" customWidth="1"/>
    <col min="7960" max="7961" width="5.625" style="13" customWidth="1"/>
    <col min="7962" max="7962" width="9" style="13"/>
    <col min="7963" max="7963" width="5.625" style="13" customWidth="1"/>
    <col min="7964" max="7964" width="9" style="13"/>
    <col min="7965" max="7966" width="5.625" style="13" customWidth="1"/>
    <col min="7967" max="7967" width="9" style="13"/>
    <col min="7968" max="7968" width="5.625" style="13" customWidth="1"/>
    <col min="7969" max="7969" width="9" style="13"/>
    <col min="7970" max="7970" width="11.625" style="13" bestFit="1" customWidth="1"/>
    <col min="7971" max="8188" width="9" style="13"/>
    <col min="8189" max="8189" width="14.875" style="13" customWidth="1"/>
    <col min="8190" max="8192" width="3.625" style="13" customWidth="1"/>
    <col min="8193" max="8194" width="12.625" style="13" customWidth="1"/>
    <col min="8195" max="8195" width="6" style="13" customWidth="1"/>
    <col min="8196" max="8196" width="12.625" style="13" customWidth="1"/>
    <col min="8197" max="8197" width="6" style="13" customWidth="1"/>
    <col min="8198" max="8207" width="3.875" style="13" customWidth="1"/>
    <col min="8208" max="8208" width="2.5" style="13" customWidth="1"/>
    <col min="8209" max="8209" width="12.375" style="13" customWidth="1"/>
    <col min="8210" max="8210" width="9.125" style="13" bestFit="1" customWidth="1"/>
    <col min="8211" max="8212" width="9" style="13"/>
    <col min="8213" max="8213" width="4.5" style="13" bestFit="1" customWidth="1"/>
    <col min="8214" max="8214" width="9" style="13"/>
    <col min="8215" max="8215" width="4.5" style="13" bestFit="1" customWidth="1"/>
    <col min="8216" max="8217" width="5.625" style="13" customWidth="1"/>
    <col min="8218" max="8218" width="9" style="13"/>
    <col min="8219" max="8219" width="5.625" style="13" customWidth="1"/>
    <col min="8220" max="8220" width="9" style="13"/>
    <col min="8221" max="8222" width="5.625" style="13" customWidth="1"/>
    <col min="8223" max="8223" width="9" style="13"/>
    <col min="8224" max="8224" width="5.625" style="13" customWidth="1"/>
    <col min="8225" max="8225" width="9" style="13"/>
    <col min="8226" max="8226" width="11.625" style="13" bestFit="1" customWidth="1"/>
    <col min="8227" max="8444" width="9" style="13"/>
    <col min="8445" max="8445" width="14.875" style="13" customWidth="1"/>
    <col min="8446" max="8448" width="3.625" style="13" customWidth="1"/>
    <col min="8449" max="8450" width="12.625" style="13" customWidth="1"/>
    <col min="8451" max="8451" width="6" style="13" customWidth="1"/>
    <col min="8452" max="8452" width="12.625" style="13" customWidth="1"/>
    <col min="8453" max="8453" width="6" style="13" customWidth="1"/>
    <col min="8454" max="8463" width="3.875" style="13" customWidth="1"/>
    <col min="8464" max="8464" width="2.5" style="13" customWidth="1"/>
    <col min="8465" max="8465" width="12.375" style="13" customWidth="1"/>
    <col min="8466" max="8466" width="9.125" style="13" bestFit="1" customWidth="1"/>
    <col min="8467" max="8468" width="9" style="13"/>
    <col min="8469" max="8469" width="4.5" style="13" bestFit="1" customWidth="1"/>
    <col min="8470" max="8470" width="9" style="13"/>
    <col min="8471" max="8471" width="4.5" style="13" bestFit="1" customWidth="1"/>
    <col min="8472" max="8473" width="5.625" style="13" customWidth="1"/>
    <col min="8474" max="8474" width="9" style="13"/>
    <col min="8475" max="8475" width="5.625" style="13" customWidth="1"/>
    <col min="8476" max="8476" width="9" style="13"/>
    <col min="8477" max="8478" width="5.625" style="13" customWidth="1"/>
    <col min="8479" max="8479" width="9" style="13"/>
    <col min="8480" max="8480" width="5.625" style="13" customWidth="1"/>
    <col min="8481" max="8481" width="9" style="13"/>
    <col min="8482" max="8482" width="11.625" style="13" bestFit="1" customWidth="1"/>
    <col min="8483" max="8700" width="9" style="13"/>
    <col min="8701" max="8701" width="14.875" style="13" customWidth="1"/>
    <col min="8702" max="8704" width="3.625" style="13" customWidth="1"/>
    <col min="8705" max="8706" width="12.625" style="13" customWidth="1"/>
    <col min="8707" max="8707" width="6" style="13" customWidth="1"/>
    <col min="8708" max="8708" width="12.625" style="13" customWidth="1"/>
    <col min="8709" max="8709" width="6" style="13" customWidth="1"/>
    <col min="8710" max="8719" width="3.875" style="13" customWidth="1"/>
    <col min="8720" max="8720" width="2.5" style="13" customWidth="1"/>
    <col min="8721" max="8721" width="12.375" style="13" customWidth="1"/>
    <col min="8722" max="8722" width="9.125" style="13" bestFit="1" customWidth="1"/>
    <col min="8723" max="8724" width="9" style="13"/>
    <col min="8725" max="8725" width="4.5" style="13" bestFit="1" customWidth="1"/>
    <col min="8726" max="8726" width="9" style="13"/>
    <col min="8727" max="8727" width="4.5" style="13" bestFit="1" customWidth="1"/>
    <col min="8728" max="8729" width="5.625" style="13" customWidth="1"/>
    <col min="8730" max="8730" width="9" style="13"/>
    <col min="8731" max="8731" width="5.625" style="13" customWidth="1"/>
    <col min="8732" max="8732" width="9" style="13"/>
    <col min="8733" max="8734" width="5.625" style="13" customWidth="1"/>
    <col min="8735" max="8735" width="9" style="13"/>
    <col min="8736" max="8736" width="5.625" style="13" customWidth="1"/>
    <col min="8737" max="8737" width="9" style="13"/>
    <col min="8738" max="8738" width="11.625" style="13" bestFit="1" customWidth="1"/>
    <col min="8739" max="8956" width="9" style="13"/>
    <col min="8957" max="8957" width="14.875" style="13" customWidth="1"/>
    <col min="8958" max="8960" width="3.625" style="13" customWidth="1"/>
    <col min="8961" max="8962" width="12.625" style="13" customWidth="1"/>
    <col min="8963" max="8963" width="6" style="13" customWidth="1"/>
    <col min="8964" max="8964" width="12.625" style="13" customWidth="1"/>
    <col min="8965" max="8965" width="6" style="13" customWidth="1"/>
    <col min="8966" max="8975" width="3.875" style="13" customWidth="1"/>
    <col min="8976" max="8976" width="2.5" style="13" customWidth="1"/>
    <col min="8977" max="8977" width="12.375" style="13" customWidth="1"/>
    <col min="8978" max="8978" width="9.125" style="13" bestFit="1" customWidth="1"/>
    <col min="8979" max="8980" width="9" style="13"/>
    <col min="8981" max="8981" width="4.5" style="13" bestFit="1" customWidth="1"/>
    <col min="8982" max="8982" width="9" style="13"/>
    <col min="8983" max="8983" width="4.5" style="13" bestFit="1" customWidth="1"/>
    <col min="8984" max="8985" width="5.625" style="13" customWidth="1"/>
    <col min="8986" max="8986" width="9" style="13"/>
    <col min="8987" max="8987" width="5.625" style="13" customWidth="1"/>
    <col min="8988" max="8988" width="9" style="13"/>
    <col min="8989" max="8990" width="5.625" style="13" customWidth="1"/>
    <col min="8991" max="8991" width="9" style="13"/>
    <col min="8992" max="8992" width="5.625" style="13" customWidth="1"/>
    <col min="8993" max="8993" width="9" style="13"/>
    <col min="8994" max="8994" width="11.625" style="13" bestFit="1" customWidth="1"/>
    <col min="8995" max="9212" width="9" style="13"/>
    <col min="9213" max="9213" width="14.875" style="13" customWidth="1"/>
    <col min="9214" max="9216" width="3.625" style="13" customWidth="1"/>
    <col min="9217" max="9218" width="12.625" style="13" customWidth="1"/>
    <col min="9219" max="9219" width="6" style="13" customWidth="1"/>
    <col min="9220" max="9220" width="12.625" style="13" customWidth="1"/>
    <col min="9221" max="9221" width="6" style="13" customWidth="1"/>
    <col min="9222" max="9231" width="3.875" style="13" customWidth="1"/>
    <col min="9232" max="9232" width="2.5" style="13" customWidth="1"/>
    <col min="9233" max="9233" width="12.375" style="13" customWidth="1"/>
    <col min="9234" max="9234" width="9.125" style="13" bestFit="1" customWidth="1"/>
    <col min="9235" max="9236" width="9" style="13"/>
    <col min="9237" max="9237" width="4.5" style="13" bestFit="1" customWidth="1"/>
    <col min="9238" max="9238" width="9" style="13"/>
    <col min="9239" max="9239" width="4.5" style="13" bestFit="1" customWidth="1"/>
    <col min="9240" max="9241" width="5.625" style="13" customWidth="1"/>
    <col min="9242" max="9242" width="9" style="13"/>
    <col min="9243" max="9243" width="5.625" style="13" customWidth="1"/>
    <col min="9244" max="9244" width="9" style="13"/>
    <col min="9245" max="9246" width="5.625" style="13" customWidth="1"/>
    <col min="9247" max="9247" width="9" style="13"/>
    <col min="9248" max="9248" width="5.625" style="13" customWidth="1"/>
    <col min="9249" max="9249" width="9" style="13"/>
    <col min="9250" max="9250" width="11.625" style="13" bestFit="1" customWidth="1"/>
    <col min="9251" max="9468" width="9" style="13"/>
    <col min="9469" max="9469" width="14.875" style="13" customWidth="1"/>
    <col min="9470" max="9472" width="3.625" style="13" customWidth="1"/>
    <col min="9473" max="9474" width="12.625" style="13" customWidth="1"/>
    <col min="9475" max="9475" width="6" style="13" customWidth="1"/>
    <col min="9476" max="9476" width="12.625" style="13" customWidth="1"/>
    <col min="9477" max="9477" width="6" style="13" customWidth="1"/>
    <col min="9478" max="9487" width="3.875" style="13" customWidth="1"/>
    <col min="9488" max="9488" width="2.5" style="13" customWidth="1"/>
    <col min="9489" max="9489" width="12.375" style="13" customWidth="1"/>
    <col min="9490" max="9490" width="9.125" style="13" bestFit="1" customWidth="1"/>
    <col min="9491" max="9492" width="9" style="13"/>
    <col min="9493" max="9493" width="4.5" style="13" bestFit="1" customWidth="1"/>
    <col min="9494" max="9494" width="9" style="13"/>
    <col min="9495" max="9495" width="4.5" style="13" bestFit="1" customWidth="1"/>
    <col min="9496" max="9497" width="5.625" style="13" customWidth="1"/>
    <col min="9498" max="9498" width="9" style="13"/>
    <col min="9499" max="9499" width="5.625" style="13" customWidth="1"/>
    <col min="9500" max="9500" width="9" style="13"/>
    <col min="9501" max="9502" width="5.625" style="13" customWidth="1"/>
    <col min="9503" max="9503" width="9" style="13"/>
    <col min="9504" max="9504" width="5.625" style="13" customWidth="1"/>
    <col min="9505" max="9505" width="9" style="13"/>
    <col min="9506" max="9506" width="11.625" style="13" bestFit="1" customWidth="1"/>
    <col min="9507" max="9724" width="9" style="13"/>
    <col min="9725" max="9725" width="14.875" style="13" customWidth="1"/>
    <col min="9726" max="9728" width="3.625" style="13" customWidth="1"/>
    <col min="9729" max="9730" width="12.625" style="13" customWidth="1"/>
    <col min="9731" max="9731" width="6" style="13" customWidth="1"/>
    <col min="9732" max="9732" width="12.625" style="13" customWidth="1"/>
    <col min="9733" max="9733" width="6" style="13" customWidth="1"/>
    <col min="9734" max="9743" width="3.875" style="13" customWidth="1"/>
    <col min="9744" max="9744" width="2.5" style="13" customWidth="1"/>
    <col min="9745" max="9745" width="12.375" style="13" customWidth="1"/>
    <col min="9746" max="9746" width="9.125" style="13" bestFit="1" customWidth="1"/>
    <col min="9747" max="9748" width="9" style="13"/>
    <col min="9749" max="9749" width="4.5" style="13" bestFit="1" customWidth="1"/>
    <col min="9750" max="9750" width="9" style="13"/>
    <col min="9751" max="9751" width="4.5" style="13" bestFit="1" customWidth="1"/>
    <col min="9752" max="9753" width="5.625" style="13" customWidth="1"/>
    <col min="9754" max="9754" width="9" style="13"/>
    <col min="9755" max="9755" width="5.625" style="13" customWidth="1"/>
    <col min="9756" max="9756" width="9" style="13"/>
    <col min="9757" max="9758" width="5.625" style="13" customWidth="1"/>
    <col min="9759" max="9759" width="9" style="13"/>
    <col min="9760" max="9760" width="5.625" style="13" customWidth="1"/>
    <col min="9761" max="9761" width="9" style="13"/>
    <col min="9762" max="9762" width="11.625" style="13" bestFit="1" customWidth="1"/>
    <col min="9763" max="9980" width="9" style="13"/>
    <col min="9981" max="9981" width="14.875" style="13" customWidth="1"/>
    <col min="9982" max="9984" width="3.625" style="13" customWidth="1"/>
    <col min="9985" max="9986" width="12.625" style="13" customWidth="1"/>
    <col min="9987" max="9987" width="6" style="13" customWidth="1"/>
    <col min="9988" max="9988" width="12.625" style="13" customWidth="1"/>
    <col min="9989" max="9989" width="6" style="13" customWidth="1"/>
    <col min="9990" max="9999" width="3.875" style="13" customWidth="1"/>
    <col min="10000" max="10000" width="2.5" style="13" customWidth="1"/>
    <col min="10001" max="10001" width="12.375" style="13" customWidth="1"/>
    <col min="10002" max="10002" width="9.125" style="13" bestFit="1" customWidth="1"/>
    <col min="10003" max="10004" width="9" style="13"/>
    <col min="10005" max="10005" width="4.5" style="13" bestFit="1" customWidth="1"/>
    <col min="10006" max="10006" width="9" style="13"/>
    <col min="10007" max="10007" width="4.5" style="13" bestFit="1" customWidth="1"/>
    <col min="10008" max="10009" width="5.625" style="13" customWidth="1"/>
    <col min="10010" max="10010" width="9" style="13"/>
    <col min="10011" max="10011" width="5.625" style="13" customWidth="1"/>
    <col min="10012" max="10012" width="9" style="13"/>
    <col min="10013" max="10014" width="5.625" style="13" customWidth="1"/>
    <col min="10015" max="10015" width="9" style="13"/>
    <col min="10016" max="10016" width="5.625" style="13" customWidth="1"/>
    <col min="10017" max="10017" width="9" style="13"/>
    <col min="10018" max="10018" width="11.625" style="13" bestFit="1" customWidth="1"/>
    <col min="10019" max="10236" width="9" style="13"/>
    <col min="10237" max="10237" width="14.875" style="13" customWidth="1"/>
    <col min="10238" max="10240" width="3.625" style="13" customWidth="1"/>
    <col min="10241" max="10242" width="12.625" style="13" customWidth="1"/>
    <col min="10243" max="10243" width="6" style="13" customWidth="1"/>
    <col min="10244" max="10244" width="12.625" style="13" customWidth="1"/>
    <col min="10245" max="10245" width="6" style="13" customWidth="1"/>
    <col min="10246" max="10255" width="3.875" style="13" customWidth="1"/>
    <col min="10256" max="10256" width="2.5" style="13" customWidth="1"/>
    <col min="10257" max="10257" width="12.375" style="13" customWidth="1"/>
    <col min="10258" max="10258" width="9.125" style="13" bestFit="1" customWidth="1"/>
    <col min="10259" max="10260" width="9" style="13"/>
    <col min="10261" max="10261" width="4.5" style="13" bestFit="1" customWidth="1"/>
    <col min="10262" max="10262" width="9" style="13"/>
    <col min="10263" max="10263" width="4.5" style="13" bestFit="1" customWidth="1"/>
    <col min="10264" max="10265" width="5.625" style="13" customWidth="1"/>
    <col min="10266" max="10266" width="9" style="13"/>
    <col min="10267" max="10267" width="5.625" style="13" customWidth="1"/>
    <col min="10268" max="10268" width="9" style="13"/>
    <col min="10269" max="10270" width="5.625" style="13" customWidth="1"/>
    <col min="10271" max="10271" width="9" style="13"/>
    <col min="10272" max="10272" width="5.625" style="13" customWidth="1"/>
    <col min="10273" max="10273" width="9" style="13"/>
    <col min="10274" max="10274" width="11.625" style="13" bestFit="1" customWidth="1"/>
    <col min="10275" max="10492" width="9" style="13"/>
    <col min="10493" max="10493" width="14.875" style="13" customWidth="1"/>
    <col min="10494" max="10496" width="3.625" style="13" customWidth="1"/>
    <col min="10497" max="10498" width="12.625" style="13" customWidth="1"/>
    <col min="10499" max="10499" width="6" style="13" customWidth="1"/>
    <col min="10500" max="10500" width="12.625" style="13" customWidth="1"/>
    <col min="10501" max="10501" width="6" style="13" customWidth="1"/>
    <col min="10502" max="10511" width="3.875" style="13" customWidth="1"/>
    <col min="10512" max="10512" width="2.5" style="13" customWidth="1"/>
    <col min="10513" max="10513" width="12.375" style="13" customWidth="1"/>
    <col min="10514" max="10514" width="9.125" style="13" bestFit="1" customWidth="1"/>
    <col min="10515" max="10516" width="9" style="13"/>
    <col min="10517" max="10517" width="4.5" style="13" bestFit="1" customWidth="1"/>
    <col min="10518" max="10518" width="9" style="13"/>
    <col min="10519" max="10519" width="4.5" style="13" bestFit="1" customWidth="1"/>
    <col min="10520" max="10521" width="5.625" style="13" customWidth="1"/>
    <col min="10522" max="10522" width="9" style="13"/>
    <col min="10523" max="10523" width="5.625" style="13" customWidth="1"/>
    <col min="10524" max="10524" width="9" style="13"/>
    <col min="10525" max="10526" width="5.625" style="13" customWidth="1"/>
    <col min="10527" max="10527" width="9" style="13"/>
    <col min="10528" max="10528" width="5.625" style="13" customWidth="1"/>
    <col min="10529" max="10529" width="9" style="13"/>
    <col min="10530" max="10530" width="11.625" style="13" bestFit="1" customWidth="1"/>
    <col min="10531" max="10748" width="9" style="13"/>
    <col min="10749" max="10749" width="14.875" style="13" customWidth="1"/>
    <col min="10750" max="10752" width="3.625" style="13" customWidth="1"/>
    <col min="10753" max="10754" width="12.625" style="13" customWidth="1"/>
    <col min="10755" max="10755" width="6" style="13" customWidth="1"/>
    <col min="10756" max="10756" width="12.625" style="13" customWidth="1"/>
    <col min="10757" max="10757" width="6" style="13" customWidth="1"/>
    <col min="10758" max="10767" width="3.875" style="13" customWidth="1"/>
    <col min="10768" max="10768" width="2.5" style="13" customWidth="1"/>
    <col min="10769" max="10769" width="12.375" style="13" customWidth="1"/>
    <col min="10770" max="10770" width="9.125" style="13" bestFit="1" customWidth="1"/>
    <col min="10771" max="10772" width="9" style="13"/>
    <col min="10773" max="10773" width="4.5" style="13" bestFit="1" customWidth="1"/>
    <col min="10774" max="10774" width="9" style="13"/>
    <col min="10775" max="10775" width="4.5" style="13" bestFit="1" customWidth="1"/>
    <col min="10776" max="10777" width="5.625" style="13" customWidth="1"/>
    <col min="10778" max="10778" width="9" style="13"/>
    <col min="10779" max="10779" width="5.625" style="13" customWidth="1"/>
    <col min="10780" max="10780" width="9" style="13"/>
    <col min="10781" max="10782" width="5.625" style="13" customWidth="1"/>
    <col min="10783" max="10783" width="9" style="13"/>
    <col min="10784" max="10784" width="5.625" style="13" customWidth="1"/>
    <col min="10785" max="10785" width="9" style="13"/>
    <col min="10786" max="10786" width="11.625" style="13" bestFit="1" customWidth="1"/>
    <col min="10787" max="11004" width="9" style="13"/>
    <col min="11005" max="11005" width="14.875" style="13" customWidth="1"/>
    <col min="11006" max="11008" width="3.625" style="13" customWidth="1"/>
    <col min="11009" max="11010" width="12.625" style="13" customWidth="1"/>
    <col min="11011" max="11011" width="6" style="13" customWidth="1"/>
    <col min="11012" max="11012" width="12.625" style="13" customWidth="1"/>
    <col min="11013" max="11013" width="6" style="13" customWidth="1"/>
    <col min="11014" max="11023" width="3.875" style="13" customWidth="1"/>
    <col min="11024" max="11024" width="2.5" style="13" customWidth="1"/>
    <col min="11025" max="11025" width="12.375" style="13" customWidth="1"/>
    <col min="11026" max="11026" width="9.125" style="13" bestFit="1" customWidth="1"/>
    <col min="11027" max="11028" width="9" style="13"/>
    <col min="11029" max="11029" width="4.5" style="13" bestFit="1" customWidth="1"/>
    <col min="11030" max="11030" width="9" style="13"/>
    <col min="11031" max="11031" width="4.5" style="13" bestFit="1" customWidth="1"/>
    <col min="11032" max="11033" width="5.625" style="13" customWidth="1"/>
    <col min="11034" max="11034" width="9" style="13"/>
    <col min="11035" max="11035" width="5.625" style="13" customWidth="1"/>
    <col min="11036" max="11036" width="9" style="13"/>
    <col min="11037" max="11038" width="5.625" style="13" customWidth="1"/>
    <col min="11039" max="11039" width="9" style="13"/>
    <col min="11040" max="11040" width="5.625" style="13" customWidth="1"/>
    <col min="11041" max="11041" width="9" style="13"/>
    <col min="11042" max="11042" width="11.625" style="13" bestFit="1" customWidth="1"/>
    <col min="11043" max="11260" width="9" style="13"/>
    <col min="11261" max="11261" width="14.875" style="13" customWidth="1"/>
    <col min="11262" max="11264" width="3.625" style="13" customWidth="1"/>
    <col min="11265" max="11266" width="12.625" style="13" customWidth="1"/>
    <col min="11267" max="11267" width="6" style="13" customWidth="1"/>
    <col min="11268" max="11268" width="12.625" style="13" customWidth="1"/>
    <col min="11269" max="11269" width="6" style="13" customWidth="1"/>
    <col min="11270" max="11279" width="3.875" style="13" customWidth="1"/>
    <col min="11280" max="11280" width="2.5" style="13" customWidth="1"/>
    <col min="11281" max="11281" width="12.375" style="13" customWidth="1"/>
    <col min="11282" max="11282" width="9.125" style="13" bestFit="1" customWidth="1"/>
    <col min="11283" max="11284" width="9" style="13"/>
    <col min="11285" max="11285" width="4.5" style="13" bestFit="1" customWidth="1"/>
    <col min="11286" max="11286" width="9" style="13"/>
    <col min="11287" max="11287" width="4.5" style="13" bestFit="1" customWidth="1"/>
    <col min="11288" max="11289" width="5.625" style="13" customWidth="1"/>
    <col min="11290" max="11290" width="9" style="13"/>
    <col min="11291" max="11291" width="5.625" style="13" customWidth="1"/>
    <col min="11292" max="11292" width="9" style="13"/>
    <col min="11293" max="11294" width="5.625" style="13" customWidth="1"/>
    <col min="11295" max="11295" width="9" style="13"/>
    <col min="11296" max="11296" width="5.625" style="13" customWidth="1"/>
    <col min="11297" max="11297" width="9" style="13"/>
    <col min="11298" max="11298" width="11.625" style="13" bestFit="1" customWidth="1"/>
    <col min="11299" max="11516" width="9" style="13"/>
    <col min="11517" max="11517" width="14.875" style="13" customWidth="1"/>
    <col min="11518" max="11520" width="3.625" style="13" customWidth="1"/>
    <col min="11521" max="11522" width="12.625" style="13" customWidth="1"/>
    <col min="11523" max="11523" width="6" style="13" customWidth="1"/>
    <col min="11524" max="11524" width="12.625" style="13" customWidth="1"/>
    <col min="11525" max="11525" width="6" style="13" customWidth="1"/>
    <col min="11526" max="11535" width="3.875" style="13" customWidth="1"/>
    <col min="11536" max="11536" width="2.5" style="13" customWidth="1"/>
    <col min="11537" max="11537" width="12.375" style="13" customWidth="1"/>
    <col min="11538" max="11538" width="9.125" style="13" bestFit="1" customWidth="1"/>
    <col min="11539" max="11540" width="9" style="13"/>
    <col min="11541" max="11541" width="4.5" style="13" bestFit="1" customWidth="1"/>
    <col min="11542" max="11542" width="9" style="13"/>
    <col min="11543" max="11543" width="4.5" style="13" bestFit="1" customWidth="1"/>
    <col min="11544" max="11545" width="5.625" style="13" customWidth="1"/>
    <col min="11546" max="11546" width="9" style="13"/>
    <col min="11547" max="11547" width="5.625" style="13" customWidth="1"/>
    <col min="11548" max="11548" width="9" style="13"/>
    <col min="11549" max="11550" width="5.625" style="13" customWidth="1"/>
    <col min="11551" max="11551" width="9" style="13"/>
    <col min="11552" max="11552" width="5.625" style="13" customWidth="1"/>
    <col min="11553" max="11553" width="9" style="13"/>
    <col min="11554" max="11554" width="11.625" style="13" bestFit="1" customWidth="1"/>
    <col min="11555" max="11772" width="9" style="13"/>
    <col min="11773" max="11773" width="14.875" style="13" customWidth="1"/>
    <col min="11774" max="11776" width="3.625" style="13" customWidth="1"/>
    <col min="11777" max="11778" width="12.625" style="13" customWidth="1"/>
    <col min="11779" max="11779" width="6" style="13" customWidth="1"/>
    <col min="11780" max="11780" width="12.625" style="13" customWidth="1"/>
    <col min="11781" max="11781" width="6" style="13" customWidth="1"/>
    <col min="11782" max="11791" width="3.875" style="13" customWidth="1"/>
    <col min="11792" max="11792" width="2.5" style="13" customWidth="1"/>
    <col min="11793" max="11793" width="12.375" style="13" customWidth="1"/>
    <col min="11794" max="11794" width="9.125" style="13" bestFit="1" customWidth="1"/>
    <col min="11795" max="11796" width="9" style="13"/>
    <col min="11797" max="11797" width="4.5" style="13" bestFit="1" customWidth="1"/>
    <col min="11798" max="11798" width="9" style="13"/>
    <col min="11799" max="11799" width="4.5" style="13" bestFit="1" customWidth="1"/>
    <col min="11800" max="11801" width="5.625" style="13" customWidth="1"/>
    <col min="11802" max="11802" width="9" style="13"/>
    <col min="11803" max="11803" width="5.625" style="13" customWidth="1"/>
    <col min="11804" max="11804" width="9" style="13"/>
    <col min="11805" max="11806" width="5.625" style="13" customWidth="1"/>
    <col min="11807" max="11807" width="9" style="13"/>
    <col min="11808" max="11808" width="5.625" style="13" customWidth="1"/>
    <col min="11809" max="11809" width="9" style="13"/>
    <col min="11810" max="11810" width="11.625" style="13" bestFit="1" customWidth="1"/>
    <col min="11811" max="12028" width="9" style="13"/>
    <col min="12029" max="12029" width="14.875" style="13" customWidth="1"/>
    <col min="12030" max="12032" width="3.625" style="13" customWidth="1"/>
    <col min="12033" max="12034" width="12.625" style="13" customWidth="1"/>
    <col min="12035" max="12035" width="6" style="13" customWidth="1"/>
    <col min="12036" max="12036" width="12.625" style="13" customWidth="1"/>
    <col min="12037" max="12037" width="6" style="13" customWidth="1"/>
    <col min="12038" max="12047" width="3.875" style="13" customWidth="1"/>
    <col min="12048" max="12048" width="2.5" style="13" customWidth="1"/>
    <col min="12049" max="12049" width="12.375" style="13" customWidth="1"/>
    <col min="12050" max="12050" width="9.125" style="13" bestFit="1" customWidth="1"/>
    <col min="12051" max="12052" width="9" style="13"/>
    <col min="12053" max="12053" width="4.5" style="13" bestFit="1" customWidth="1"/>
    <col min="12054" max="12054" width="9" style="13"/>
    <col min="12055" max="12055" width="4.5" style="13" bestFit="1" customWidth="1"/>
    <col min="12056" max="12057" width="5.625" style="13" customWidth="1"/>
    <col min="12058" max="12058" width="9" style="13"/>
    <col min="12059" max="12059" width="5.625" style="13" customWidth="1"/>
    <col min="12060" max="12060" width="9" style="13"/>
    <col min="12061" max="12062" width="5.625" style="13" customWidth="1"/>
    <col min="12063" max="12063" width="9" style="13"/>
    <col min="12064" max="12064" width="5.625" style="13" customWidth="1"/>
    <col min="12065" max="12065" width="9" style="13"/>
    <col min="12066" max="12066" width="11.625" style="13" bestFit="1" customWidth="1"/>
    <col min="12067" max="12284" width="9" style="13"/>
    <col min="12285" max="12285" width="14.875" style="13" customWidth="1"/>
    <col min="12286" max="12288" width="3.625" style="13" customWidth="1"/>
    <col min="12289" max="12290" width="12.625" style="13" customWidth="1"/>
    <col min="12291" max="12291" width="6" style="13" customWidth="1"/>
    <col min="12292" max="12292" width="12.625" style="13" customWidth="1"/>
    <col min="12293" max="12293" width="6" style="13" customWidth="1"/>
    <col min="12294" max="12303" width="3.875" style="13" customWidth="1"/>
    <col min="12304" max="12304" width="2.5" style="13" customWidth="1"/>
    <col min="12305" max="12305" width="12.375" style="13" customWidth="1"/>
    <col min="12306" max="12306" width="9.125" style="13" bestFit="1" customWidth="1"/>
    <col min="12307" max="12308" width="9" style="13"/>
    <col min="12309" max="12309" width="4.5" style="13" bestFit="1" customWidth="1"/>
    <col min="12310" max="12310" width="9" style="13"/>
    <col min="12311" max="12311" width="4.5" style="13" bestFit="1" customWidth="1"/>
    <col min="12312" max="12313" width="5.625" style="13" customWidth="1"/>
    <col min="12314" max="12314" width="9" style="13"/>
    <col min="12315" max="12315" width="5.625" style="13" customWidth="1"/>
    <col min="12316" max="12316" width="9" style="13"/>
    <col min="12317" max="12318" width="5.625" style="13" customWidth="1"/>
    <col min="12319" max="12319" width="9" style="13"/>
    <col min="12320" max="12320" width="5.625" style="13" customWidth="1"/>
    <col min="12321" max="12321" width="9" style="13"/>
    <col min="12322" max="12322" width="11.625" style="13" bestFit="1" customWidth="1"/>
    <col min="12323" max="12540" width="9" style="13"/>
    <col min="12541" max="12541" width="14.875" style="13" customWidth="1"/>
    <col min="12542" max="12544" width="3.625" style="13" customWidth="1"/>
    <col min="12545" max="12546" width="12.625" style="13" customWidth="1"/>
    <col min="12547" max="12547" width="6" style="13" customWidth="1"/>
    <col min="12548" max="12548" width="12.625" style="13" customWidth="1"/>
    <col min="12549" max="12549" width="6" style="13" customWidth="1"/>
    <col min="12550" max="12559" width="3.875" style="13" customWidth="1"/>
    <col min="12560" max="12560" width="2.5" style="13" customWidth="1"/>
    <col min="12561" max="12561" width="12.375" style="13" customWidth="1"/>
    <col min="12562" max="12562" width="9.125" style="13" bestFit="1" customWidth="1"/>
    <col min="12563" max="12564" width="9" style="13"/>
    <col min="12565" max="12565" width="4.5" style="13" bestFit="1" customWidth="1"/>
    <col min="12566" max="12566" width="9" style="13"/>
    <col min="12567" max="12567" width="4.5" style="13" bestFit="1" customWidth="1"/>
    <col min="12568" max="12569" width="5.625" style="13" customWidth="1"/>
    <col min="12570" max="12570" width="9" style="13"/>
    <col min="12571" max="12571" width="5.625" style="13" customWidth="1"/>
    <col min="12572" max="12572" width="9" style="13"/>
    <col min="12573" max="12574" width="5.625" style="13" customWidth="1"/>
    <col min="12575" max="12575" width="9" style="13"/>
    <col min="12576" max="12576" width="5.625" style="13" customWidth="1"/>
    <col min="12577" max="12577" width="9" style="13"/>
    <col min="12578" max="12578" width="11.625" style="13" bestFit="1" customWidth="1"/>
    <col min="12579" max="12796" width="9" style="13"/>
    <col min="12797" max="12797" width="14.875" style="13" customWidth="1"/>
    <col min="12798" max="12800" width="3.625" style="13" customWidth="1"/>
    <col min="12801" max="12802" width="12.625" style="13" customWidth="1"/>
    <col min="12803" max="12803" width="6" style="13" customWidth="1"/>
    <col min="12804" max="12804" width="12.625" style="13" customWidth="1"/>
    <col min="12805" max="12805" width="6" style="13" customWidth="1"/>
    <col min="12806" max="12815" width="3.875" style="13" customWidth="1"/>
    <col min="12816" max="12816" width="2.5" style="13" customWidth="1"/>
    <col min="12817" max="12817" width="12.375" style="13" customWidth="1"/>
    <col min="12818" max="12818" width="9.125" style="13" bestFit="1" customWidth="1"/>
    <col min="12819" max="12820" width="9" style="13"/>
    <col min="12821" max="12821" width="4.5" style="13" bestFit="1" customWidth="1"/>
    <col min="12822" max="12822" width="9" style="13"/>
    <col min="12823" max="12823" width="4.5" style="13" bestFit="1" customWidth="1"/>
    <col min="12824" max="12825" width="5.625" style="13" customWidth="1"/>
    <col min="12826" max="12826" width="9" style="13"/>
    <col min="12827" max="12827" width="5.625" style="13" customWidth="1"/>
    <col min="12828" max="12828" width="9" style="13"/>
    <col min="12829" max="12830" width="5.625" style="13" customWidth="1"/>
    <col min="12831" max="12831" width="9" style="13"/>
    <col min="12832" max="12832" width="5.625" style="13" customWidth="1"/>
    <col min="12833" max="12833" width="9" style="13"/>
    <col min="12834" max="12834" width="11.625" style="13" bestFit="1" customWidth="1"/>
    <col min="12835" max="13052" width="9" style="13"/>
    <col min="13053" max="13053" width="14.875" style="13" customWidth="1"/>
    <col min="13054" max="13056" width="3.625" style="13" customWidth="1"/>
    <col min="13057" max="13058" width="12.625" style="13" customWidth="1"/>
    <col min="13059" max="13059" width="6" style="13" customWidth="1"/>
    <col min="13060" max="13060" width="12.625" style="13" customWidth="1"/>
    <col min="13061" max="13061" width="6" style="13" customWidth="1"/>
    <col min="13062" max="13071" width="3.875" style="13" customWidth="1"/>
    <col min="13072" max="13072" width="2.5" style="13" customWidth="1"/>
    <col min="13073" max="13073" width="12.375" style="13" customWidth="1"/>
    <col min="13074" max="13074" width="9.125" style="13" bestFit="1" customWidth="1"/>
    <col min="13075" max="13076" width="9" style="13"/>
    <col min="13077" max="13077" width="4.5" style="13" bestFit="1" customWidth="1"/>
    <col min="13078" max="13078" width="9" style="13"/>
    <col min="13079" max="13079" width="4.5" style="13" bestFit="1" customWidth="1"/>
    <col min="13080" max="13081" width="5.625" style="13" customWidth="1"/>
    <col min="13082" max="13082" width="9" style="13"/>
    <col min="13083" max="13083" width="5.625" style="13" customWidth="1"/>
    <col min="13084" max="13084" width="9" style="13"/>
    <col min="13085" max="13086" width="5.625" style="13" customWidth="1"/>
    <col min="13087" max="13087" width="9" style="13"/>
    <col min="13088" max="13088" width="5.625" style="13" customWidth="1"/>
    <col min="13089" max="13089" width="9" style="13"/>
    <col min="13090" max="13090" width="11.625" style="13" bestFit="1" customWidth="1"/>
    <col min="13091" max="13308" width="9" style="13"/>
    <col min="13309" max="13309" width="14.875" style="13" customWidth="1"/>
    <col min="13310" max="13312" width="3.625" style="13" customWidth="1"/>
    <col min="13313" max="13314" width="12.625" style="13" customWidth="1"/>
    <col min="13315" max="13315" width="6" style="13" customWidth="1"/>
    <col min="13316" max="13316" width="12.625" style="13" customWidth="1"/>
    <col min="13317" max="13317" width="6" style="13" customWidth="1"/>
    <col min="13318" max="13327" width="3.875" style="13" customWidth="1"/>
    <col min="13328" max="13328" width="2.5" style="13" customWidth="1"/>
    <col min="13329" max="13329" width="12.375" style="13" customWidth="1"/>
    <col min="13330" max="13330" width="9.125" style="13" bestFit="1" customWidth="1"/>
    <col min="13331" max="13332" width="9" style="13"/>
    <col min="13333" max="13333" width="4.5" style="13" bestFit="1" customWidth="1"/>
    <col min="13334" max="13334" width="9" style="13"/>
    <col min="13335" max="13335" width="4.5" style="13" bestFit="1" customWidth="1"/>
    <col min="13336" max="13337" width="5.625" style="13" customWidth="1"/>
    <col min="13338" max="13338" width="9" style="13"/>
    <col min="13339" max="13339" width="5.625" style="13" customWidth="1"/>
    <col min="13340" max="13340" width="9" style="13"/>
    <col min="13341" max="13342" width="5.625" style="13" customWidth="1"/>
    <col min="13343" max="13343" width="9" style="13"/>
    <col min="13344" max="13344" width="5.625" style="13" customWidth="1"/>
    <col min="13345" max="13345" width="9" style="13"/>
    <col min="13346" max="13346" width="11.625" style="13" bestFit="1" customWidth="1"/>
    <col min="13347" max="13564" width="9" style="13"/>
    <col min="13565" max="13565" width="14.875" style="13" customWidth="1"/>
    <col min="13566" max="13568" width="3.625" style="13" customWidth="1"/>
    <col min="13569" max="13570" width="12.625" style="13" customWidth="1"/>
    <col min="13571" max="13571" width="6" style="13" customWidth="1"/>
    <col min="13572" max="13572" width="12.625" style="13" customWidth="1"/>
    <col min="13573" max="13573" width="6" style="13" customWidth="1"/>
    <col min="13574" max="13583" width="3.875" style="13" customWidth="1"/>
    <col min="13584" max="13584" width="2.5" style="13" customWidth="1"/>
    <col min="13585" max="13585" width="12.375" style="13" customWidth="1"/>
    <col min="13586" max="13586" width="9.125" style="13" bestFit="1" customWidth="1"/>
    <col min="13587" max="13588" width="9" style="13"/>
    <col min="13589" max="13589" width="4.5" style="13" bestFit="1" customWidth="1"/>
    <col min="13590" max="13590" width="9" style="13"/>
    <col min="13591" max="13591" width="4.5" style="13" bestFit="1" customWidth="1"/>
    <col min="13592" max="13593" width="5.625" style="13" customWidth="1"/>
    <col min="13594" max="13594" width="9" style="13"/>
    <col min="13595" max="13595" width="5.625" style="13" customWidth="1"/>
    <col min="13596" max="13596" width="9" style="13"/>
    <col min="13597" max="13598" width="5.625" style="13" customWidth="1"/>
    <col min="13599" max="13599" width="9" style="13"/>
    <col min="13600" max="13600" width="5.625" style="13" customWidth="1"/>
    <col min="13601" max="13601" width="9" style="13"/>
    <col min="13602" max="13602" width="11.625" style="13" bestFit="1" customWidth="1"/>
    <col min="13603" max="13820" width="9" style="13"/>
    <col min="13821" max="13821" width="14.875" style="13" customWidth="1"/>
    <col min="13822" max="13824" width="3.625" style="13" customWidth="1"/>
    <col min="13825" max="13826" width="12.625" style="13" customWidth="1"/>
    <col min="13827" max="13827" width="6" style="13" customWidth="1"/>
    <col min="13828" max="13828" width="12.625" style="13" customWidth="1"/>
    <col min="13829" max="13829" width="6" style="13" customWidth="1"/>
    <col min="13830" max="13839" width="3.875" style="13" customWidth="1"/>
    <col min="13840" max="13840" width="2.5" style="13" customWidth="1"/>
    <col min="13841" max="13841" width="12.375" style="13" customWidth="1"/>
    <col min="13842" max="13842" width="9.125" style="13" bestFit="1" customWidth="1"/>
    <col min="13843" max="13844" width="9" style="13"/>
    <col min="13845" max="13845" width="4.5" style="13" bestFit="1" customWidth="1"/>
    <col min="13846" max="13846" width="9" style="13"/>
    <col min="13847" max="13847" width="4.5" style="13" bestFit="1" customWidth="1"/>
    <col min="13848" max="13849" width="5.625" style="13" customWidth="1"/>
    <col min="13850" max="13850" width="9" style="13"/>
    <col min="13851" max="13851" width="5.625" style="13" customWidth="1"/>
    <col min="13852" max="13852" width="9" style="13"/>
    <col min="13853" max="13854" width="5.625" style="13" customWidth="1"/>
    <col min="13855" max="13855" width="9" style="13"/>
    <col min="13856" max="13856" width="5.625" style="13" customWidth="1"/>
    <col min="13857" max="13857" width="9" style="13"/>
    <col min="13858" max="13858" width="11.625" style="13" bestFit="1" customWidth="1"/>
    <col min="13859" max="14076" width="9" style="13"/>
    <col min="14077" max="14077" width="14.875" style="13" customWidth="1"/>
    <col min="14078" max="14080" width="3.625" style="13" customWidth="1"/>
    <col min="14081" max="14082" width="12.625" style="13" customWidth="1"/>
    <col min="14083" max="14083" width="6" style="13" customWidth="1"/>
    <col min="14084" max="14084" width="12.625" style="13" customWidth="1"/>
    <col min="14085" max="14085" width="6" style="13" customWidth="1"/>
    <col min="14086" max="14095" width="3.875" style="13" customWidth="1"/>
    <col min="14096" max="14096" width="2.5" style="13" customWidth="1"/>
    <col min="14097" max="14097" width="12.375" style="13" customWidth="1"/>
    <col min="14098" max="14098" width="9.125" style="13" bestFit="1" customWidth="1"/>
    <col min="14099" max="14100" width="9" style="13"/>
    <col min="14101" max="14101" width="4.5" style="13" bestFit="1" customWidth="1"/>
    <col min="14102" max="14102" width="9" style="13"/>
    <col min="14103" max="14103" width="4.5" style="13" bestFit="1" customWidth="1"/>
    <col min="14104" max="14105" width="5.625" style="13" customWidth="1"/>
    <col min="14106" max="14106" width="9" style="13"/>
    <col min="14107" max="14107" width="5.625" style="13" customWidth="1"/>
    <col min="14108" max="14108" width="9" style="13"/>
    <col min="14109" max="14110" width="5.625" style="13" customWidth="1"/>
    <col min="14111" max="14111" width="9" style="13"/>
    <col min="14112" max="14112" width="5.625" style="13" customWidth="1"/>
    <col min="14113" max="14113" width="9" style="13"/>
    <col min="14114" max="14114" width="11.625" style="13" bestFit="1" customWidth="1"/>
    <col min="14115" max="14332" width="9" style="13"/>
    <col min="14333" max="14333" width="14.875" style="13" customWidth="1"/>
    <col min="14334" max="14336" width="3.625" style="13" customWidth="1"/>
    <col min="14337" max="14338" width="12.625" style="13" customWidth="1"/>
    <col min="14339" max="14339" width="6" style="13" customWidth="1"/>
    <col min="14340" max="14340" width="12.625" style="13" customWidth="1"/>
    <col min="14341" max="14341" width="6" style="13" customWidth="1"/>
    <col min="14342" max="14351" width="3.875" style="13" customWidth="1"/>
    <col min="14352" max="14352" width="2.5" style="13" customWidth="1"/>
    <col min="14353" max="14353" width="12.375" style="13" customWidth="1"/>
    <col min="14354" max="14354" width="9.125" style="13" bestFit="1" customWidth="1"/>
    <col min="14355" max="14356" width="9" style="13"/>
    <col min="14357" max="14357" width="4.5" style="13" bestFit="1" customWidth="1"/>
    <col min="14358" max="14358" width="9" style="13"/>
    <col min="14359" max="14359" width="4.5" style="13" bestFit="1" customWidth="1"/>
    <col min="14360" max="14361" width="5.625" style="13" customWidth="1"/>
    <col min="14362" max="14362" width="9" style="13"/>
    <col min="14363" max="14363" width="5.625" style="13" customWidth="1"/>
    <col min="14364" max="14364" width="9" style="13"/>
    <col min="14365" max="14366" width="5.625" style="13" customWidth="1"/>
    <col min="14367" max="14367" width="9" style="13"/>
    <col min="14368" max="14368" width="5.625" style="13" customWidth="1"/>
    <col min="14369" max="14369" width="9" style="13"/>
    <col min="14370" max="14370" width="11.625" style="13" bestFit="1" customWidth="1"/>
    <col min="14371" max="14588" width="9" style="13"/>
    <col min="14589" max="14589" width="14.875" style="13" customWidth="1"/>
    <col min="14590" max="14592" width="3.625" style="13" customWidth="1"/>
    <col min="14593" max="14594" width="12.625" style="13" customWidth="1"/>
    <col min="14595" max="14595" width="6" style="13" customWidth="1"/>
    <col min="14596" max="14596" width="12.625" style="13" customWidth="1"/>
    <col min="14597" max="14597" width="6" style="13" customWidth="1"/>
    <col min="14598" max="14607" width="3.875" style="13" customWidth="1"/>
    <col min="14608" max="14608" width="2.5" style="13" customWidth="1"/>
    <col min="14609" max="14609" width="12.375" style="13" customWidth="1"/>
    <col min="14610" max="14610" width="9.125" style="13" bestFit="1" customWidth="1"/>
    <col min="14611" max="14612" width="9" style="13"/>
    <col min="14613" max="14613" width="4.5" style="13" bestFit="1" customWidth="1"/>
    <col min="14614" max="14614" width="9" style="13"/>
    <col min="14615" max="14615" width="4.5" style="13" bestFit="1" customWidth="1"/>
    <col min="14616" max="14617" width="5.625" style="13" customWidth="1"/>
    <col min="14618" max="14618" width="9" style="13"/>
    <col min="14619" max="14619" width="5.625" style="13" customWidth="1"/>
    <col min="14620" max="14620" width="9" style="13"/>
    <col min="14621" max="14622" width="5.625" style="13" customWidth="1"/>
    <col min="14623" max="14623" width="9" style="13"/>
    <col min="14624" max="14624" width="5.625" style="13" customWidth="1"/>
    <col min="14625" max="14625" width="9" style="13"/>
    <col min="14626" max="14626" width="11.625" style="13" bestFit="1" customWidth="1"/>
    <col min="14627" max="14844" width="9" style="13"/>
    <col min="14845" max="14845" width="14.875" style="13" customWidth="1"/>
    <col min="14846" max="14848" width="3.625" style="13" customWidth="1"/>
    <col min="14849" max="14850" width="12.625" style="13" customWidth="1"/>
    <col min="14851" max="14851" width="6" style="13" customWidth="1"/>
    <col min="14852" max="14852" width="12.625" style="13" customWidth="1"/>
    <col min="14853" max="14853" width="6" style="13" customWidth="1"/>
    <col min="14854" max="14863" width="3.875" style="13" customWidth="1"/>
    <col min="14864" max="14864" width="2.5" style="13" customWidth="1"/>
    <col min="14865" max="14865" width="12.375" style="13" customWidth="1"/>
    <col min="14866" max="14866" width="9.125" style="13" bestFit="1" customWidth="1"/>
    <col min="14867" max="14868" width="9" style="13"/>
    <col min="14869" max="14869" width="4.5" style="13" bestFit="1" customWidth="1"/>
    <col min="14870" max="14870" width="9" style="13"/>
    <col min="14871" max="14871" width="4.5" style="13" bestFit="1" customWidth="1"/>
    <col min="14872" max="14873" width="5.625" style="13" customWidth="1"/>
    <col min="14874" max="14874" width="9" style="13"/>
    <col min="14875" max="14875" width="5.625" style="13" customWidth="1"/>
    <col min="14876" max="14876" width="9" style="13"/>
    <col min="14877" max="14878" width="5.625" style="13" customWidth="1"/>
    <col min="14879" max="14879" width="9" style="13"/>
    <col min="14880" max="14880" width="5.625" style="13" customWidth="1"/>
    <col min="14881" max="14881" width="9" style="13"/>
    <col min="14882" max="14882" width="11.625" style="13" bestFit="1" customWidth="1"/>
    <col min="14883" max="15100" width="9" style="13"/>
    <col min="15101" max="15101" width="14.875" style="13" customWidth="1"/>
    <col min="15102" max="15104" width="3.625" style="13" customWidth="1"/>
    <col min="15105" max="15106" width="12.625" style="13" customWidth="1"/>
    <col min="15107" max="15107" width="6" style="13" customWidth="1"/>
    <col min="15108" max="15108" width="12.625" style="13" customWidth="1"/>
    <col min="15109" max="15109" width="6" style="13" customWidth="1"/>
    <col min="15110" max="15119" width="3.875" style="13" customWidth="1"/>
    <col min="15120" max="15120" width="2.5" style="13" customWidth="1"/>
    <col min="15121" max="15121" width="12.375" style="13" customWidth="1"/>
    <col min="15122" max="15122" width="9.125" style="13" bestFit="1" customWidth="1"/>
    <col min="15123" max="15124" width="9" style="13"/>
    <col min="15125" max="15125" width="4.5" style="13" bestFit="1" customWidth="1"/>
    <col min="15126" max="15126" width="9" style="13"/>
    <col min="15127" max="15127" width="4.5" style="13" bestFit="1" customWidth="1"/>
    <col min="15128" max="15129" width="5.625" style="13" customWidth="1"/>
    <col min="15130" max="15130" width="9" style="13"/>
    <col min="15131" max="15131" width="5.625" style="13" customWidth="1"/>
    <col min="15132" max="15132" width="9" style="13"/>
    <col min="15133" max="15134" width="5.625" style="13" customWidth="1"/>
    <col min="15135" max="15135" width="9" style="13"/>
    <col min="15136" max="15136" width="5.625" style="13" customWidth="1"/>
    <col min="15137" max="15137" width="9" style="13"/>
    <col min="15138" max="15138" width="11.625" style="13" bestFit="1" customWidth="1"/>
    <col min="15139" max="15356" width="9" style="13"/>
    <col min="15357" max="15357" width="14.875" style="13" customWidth="1"/>
    <col min="15358" max="15360" width="3.625" style="13" customWidth="1"/>
    <col min="15361" max="15362" width="12.625" style="13" customWidth="1"/>
    <col min="15363" max="15363" width="6" style="13" customWidth="1"/>
    <col min="15364" max="15364" width="12.625" style="13" customWidth="1"/>
    <col min="15365" max="15365" width="6" style="13" customWidth="1"/>
    <col min="15366" max="15375" width="3.875" style="13" customWidth="1"/>
    <col min="15376" max="15376" width="2.5" style="13" customWidth="1"/>
    <col min="15377" max="15377" width="12.375" style="13" customWidth="1"/>
    <col min="15378" max="15378" width="9.125" style="13" bestFit="1" customWidth="1"/>
    <col min="15379" max="15380" width="9" style="13"/>
    <col min="15381" max="15381" width="4.5" style="13" bestFit="1" customWidth="1"/>
    <col min="15382" max="15382" width="9" style="13"/>
    <col min="15383" max="15383" width="4.5" style="13" bestFit="1" customWidth="1"/>
    <col min="15384" max="15385" width="5.625" style="13" customWidth="1"/>
    <col min="15386" max="15386" width="9" style="13"/>
    <col min="15387" max="15387" width="5.625" style="13" customWidth="1"/>
    <col min="15388" max="15388" width="9" style="13"/>
    <col min="15389" max="15390" width="5.625" style="13" customWidth="1"/>
    <col min="15391" max="15391" width="9" style="13"/>
    <col min="15392" max="15392" width="5.625" style="13" customWidth="1"/>
    <col min="15393" max="15393" width="9" style="13"/>
    <col min="15394" max="15394" width="11.625" style="13" bestFit="1" customWidth="1"/>
    <col min="15395" max="15612" width="9" style="13"/>
    <col min="15613" max="15613" width="14.875" style="13" customWidth="1"/>
    <col min="15614" max="15616" width="3.625" style="13" customWidth="1"/>
    <col min="15617" max="15618" width="12.625" style="13" customWidth="1"/>
    <col min="15619" max="15619" width="6" style="13" customWidth="1"/>
    <col min="15620" max="15620" width="12.625" style="13" customWidth="1"/>
    <col min="15621" max="15621" width="6" style="13" customWidth="1"/>
    <col min="15622" max="15631" width="3.875" style="13" customWidth="1"/>
    <col min="15632" max="15632" width="2.5" style="13" customWidth="1"/>
    <col min="15633" max="15633" width="12.375" style="13" customWidth="1"/>
    <col min="15634" max="15634" width="9.125" style="13" bestFit="1" customWidth="1"/>
    <col min="15635" max="15636" width="9" style="13"/>
    <col min="15637" max="15637" width="4.5" style="13" bestFit="1" customWidth="1"/>
    <col min="15638" max="15638" width="9" style="13"/>
    <col min="15639" max="15639" width="4.5" style="13" bestFit="1" customWidth="1"/>
    <col min="15640" max="15641" width="5.625" style="13" customWidth="1"/>
    <col min="15642" max="15642" width="9" style="13"/>
    <col min="15643" max="15643" width="5.625" style="13" customWidth="1"/>
    <col min="15644" max="15644" width="9" style="13"/>
    <col min="15645" max="15646" width="5.625" style="13" customWidth="1"/>
    <col min="15647" max="15647" width="9" style="13"/>
    <col min="15648" max="15648" width="5.625" style="13" customWidth="1"/>
    <col min="15649" max="15649" width="9" style="13"/>
    <col min="15650" max="15650" width="11.625" style="13" bestFit="1" customWidth="1"/>
    <col min="15651" max="15868" width="9" style="13"/>
    <col min="15869" max="15869" width="14.875" style="13" customWidth="1"/>
    <col min="15870" max="15872" width="3.625" style="13" customWidth="1"/>
    <col min="15873" max="15874" width="12.625" style="13" customWidth="1"/>
    <col min="15875" max="15875" width="6" style="13" customWidth="1"/>
    <col min="15876" max="15876" width="12.625" style="13" customWidth="1"/>
    <col min="15877" max="15877" width="6" style="13" customWidth="1"/>
    <col min="15878" max="15887" width="3.875" style="13" customWidth="1"/>
    <col min="15888" max="15888" width="2.5" style="13" customWidth="1"/>
    <col min="15889" max="15889" width="12.375" style="13" customWidth="1"/>
    <col min="15890" max="15890" width="9.125" style="13" bestFit="1" customWidth="1"/>
    <col min="15891" max="15892" width="9" style="13"/>
    <col min="15893" max="15893" width="4.5" style="13" bestFit="1" customWidth="1"/>
    <col min="15894" max="15894" width="9" style="13"/>
    <col min="15895" max="15895" width="4.5" style="13" bestFit="1" customWidth="1"/>
    <col min="15896" max="15897" width="5.625" style="13" customWidth="1"/>
    <col min="15898" max="15898" width="9" style="13"/>
    <col min="15899" max="15899" width="5.625" style="13" customWidth="1"/>
    <col min="15900" max="15900" width="9" style="13"/>
    <col min="15901" max="15902" width="5.625" style="13" customWidth="1"/>
    <col min="15903" max="15903" width="9" style="13"/>
    <col min="15904" max="15904" width="5.625" style="13" customWidth="1"/>
    <col min="15905" max="15905" width="9" style="13"/>
    <col min="15906" max="15906" width="11.625" style="13" bestFit="1" customWidth="1"/>
    <col min="15907" max="16124" width="9" style="13"/>
    <col min="16125" max="16125" width="14.875" style="13" customWidth="1"/>
    <col min="16126" max="16128" width="3.625" style="13" customWidth="1"/>
    <col min="16129" max="16130" width="12.625" style="13" customWidth="1"/>
    <col min="16131" max="16131" width="6" style="13" customWidth="1"/>
    <col min="16132" max="16132" width="12.625" style="13" customWidth="1"/>
    <col min="16133" max="16133" width="6" style="13" customWidth="1"/>
    <col min="16134" max="16143" width="3.875" style="13" customWidth="1"/>
    <col min="16144" max="16144" width="2.5" style="13" customWidth="1"/>
    <col min="16145" max="16145" width="12.375" style="13" customWidth="1"/>
    <col min="16146" max="16146" width="9.125" style="13" bestFit="1" customWidth="1"/>
    <col min="16147" max="16148" width="9" style="13"/>
    <col min="16149" max="16149" width="4.5" style="13" bestFit="1" customWidth="1"/>
    <col min="16150" max="16150" width="9" style="13"/>
    <col min="16151" max="16151" width="4.5" style="13" bestFit="1" customWidth="1"/>
    <col min="16152" max="16153" width="5.625" style="13" customWidth="1"/>
    <col min="16154" max="16154" width="9" style="13"/>
    <col min="16155" max="16155" width="5.625" style="13" customWidth="1"/>
    <col min="16156" max="16156" width="9" style="13"/>
    <col min="16157" max="16158" width="5.625" style="13" customWidth="1"/>
    <col min="16159" max="16159" width="9" style="13"/>
    <col min="16160" max="16160" width="5.625" style="13" customWidth="1"/>
    <col min="16161" max="16161" width="9" style="13"/>
    <col min="16162" max="16162" width="11.625" style="13" bestFit="1" customWidth="1"/>
    <col min="16163" max="16384" width="9" style="13"/>
  </cols>
  <sheetData>
    <row r="1" spans="1:21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9" t="s">
        <v>20</v>
      </c>
      <c r="Q1" s="279"/>
      <c r="R1" s="279"/>
      <c r="S1" s="279"/>
      <c r="T1" s="10">
        <f>COUNTA(總表!D5:D37)</f>
        <v>22</v>
      </c>
      <c r="U1" s="19"/>
    </row>
    <row r="2" spans="1:21" ht="15.75" customHeight="1">
      <c r="A2" s="9"/>
      <c r="B2" s="280" t="s">
        <v>1125</v>
      </c>
      <c r="C2" s="280"/>
      <c r="D2" s="280"/>
      <c r="E2" s="280"/>
      <c r="F2" s="280"/>
      <c r="G2" s="280" t="s">
        <v>1188</v>
      </c>
      <c r="H2" s="280"/>
      <c r="I2" s="280"/>
      <c r="J2" s="280"/>
      <c r="K2" s="280"/>
      <c r="L2" s="280"/>
      <c r="M2" s="280"/>
      <c r="N2" s="280"/>
      <c r="O2" s="280"/>
      <c r="P2" s="281" t="s">
        <v>21</v>
      </c>
      <c r="Q2" s="281"/>
      <c r="R2" s="281"/>
      <c r="S2" s="281"/>
      <c r="T2" s="10">
        <f>COUNTA(總表!D5:D9)</f>
        <v>1</v>
      </c>
      <c r="U2" s="18"/>
    </row>
    <row r="3" spans="1:21" ht="14.25" customHeight="1">
      <c r="A3" s="10"/>
      <c r="B3" s="282" t="s">
        <v>22</v>
      </c>
      <c r="C3" s="282" t="s">
        <v>23</v>
      </c>
      <c r="D3" s="282" t="s">
        <v>24</v>
      </c>
      <c r="E3" s="65"/>
      <c r="F3" s="285" t="s">
        <v>25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  <c r="S3" s="288" t="s">
        <v>26</v>
      </c>
      <c r="T3" s="289"/>
      <c r="U3" s="18"/>
    </row>
    <row r="4" spans="1:21" ht="14.25" customHeight="1">
      <c r="A4" s="9"/>
      <c r="B4" s="283"/>
      <c r="C4" s="283"/>
      <c r="D4" s="283"/>
      <c r="E4" s="61"/>
      <c r="F4" s="272" t="s">
        <v>27</v>
      </c>
      <c r="G4" s="278" t="s">
        <v>28</v>
      </c>
      <c r="H4" s="282" t="s">
        <v>29</v>
      </c>
      <c r="I4" s="278" t="s">
        <v>28</v>
      </c>
      <c r="J4" s="282" t="s">
        <v>29</v>
      </c>
      <c r="K4" s="286" t="s">
        <v>30</v>
      </c>
      <c r="L4" s="286"/>
      <c r="M4" s="286"/>
      <c r="N4" s="286"/>
      <c r="O4" s="286"/>
      <c r="P4" s="286"/>
      <c r="Q4" s="286"/>
      <c r="R4" s="287"/>
      <c r="S4" s="290"/>
      <c r="T4" s="291"/>
      <c r="U4" s="18"/>
    </row>
    <row r="5" spans="1:21" ht="14.25" customHeight="1">
      <c r="A5" s="10"/>
      <c r="B5" s="283"/>
      <c r="C5" s="283"/>
      <c r="D5" s="283"/>
      <c r="E5" s="61"/>
      <c r="F5" s="272"/>
      <c r="G5" s="278"/>
      <c r="H5" s="283"/>
      <c r="I5" s="278"/>
      <c r="J5" s="283"/>
      <c r="K5" s="282" t="s">
        <v>31</v>
      </c>
      <c r="L5" s="282" t="s">
        <v>32</v>
      </c>
      <c r="M5" s="282" t="s">
        <v>33</v>
      </c>
      <c r="N5" s="282" t="s">
        <v>34</v>
      </c>
      <c r="O5" s="282" t="s">
        <v>35</v>
      </c>
      <c r="P5" s="294" t="s">
        <v>36</v>
      </c>
      <c r="Q5" s="294" t="s">
        <v>37</v>
      </c>
      <c r="R5" s="297" t="s">
        <v>38</v>
      </c>
      <c r="S5" s="290"/>
      <c r="T5" s="291"/>
      <c r="U5" s="18"/>
    </row>
    <row r="6" spans="1:21" ht="14.25" customHeight="1">
      <c r="A6" s="10" t="s">
        <v>1184</v>
      </c>
      <c r="B6" s="283"/>
      <c r="C6" s="283"/>
      <c r="D6" s="283"/>
      <c r="E6" s="61"/>
      <c r="F6" s="272"/>
      <c r="G6" s="278"/>
      <c r="H6" s="283"/>
      <c r="I6" s="278"/>
      <c r="J6" s="283"/>
      <c r="K6" s="283"/>
      <c r="L6" s="283"/>
      <c r="M6" s="283"/>
      <c r="N6" s="283"/>
      <c r="O6" s="283"/>
      <c r="P6" s="295"/>
      <c r="Q6" s="295"/>
      <c r="R6" s="297"/>
      <c r="S6" s="290"/>
      <c r="T6" s="291"/>
      <c r="U6" s="18"/>
    </row>
    <row r="7" spans="1:21" ht="14.25" customHeight="1">
      <c r="A7" s="9" t="s">
        <v>1185</v>
      </c>
      <c r="B7" s="284"/>
      <c r="C7" s="284"/>
      <c r="D7" s="284"/>
      <c r="E7" s="62"/>
      <c r="F7" s="273"/>
      <c r="G7" s="271"/>
      <c r="H7" s="284"/>
      <c r="I7" s="278"/>
      <c r="J7" s="284"/>
      <c r="K7" s="284"/>
      <c r="L7" s="284"/>
      <c r="M7" s="284"/>
      <c r="N7" s="284"/>
      <c r="O7" s="284"/>
      <c r="P7" s="296"/>
      <c r="Q7" s="296"/>
      <c r="R7" s="297"/>
      <c r="S7" s="292"/>
      <c r="T7" s="293"/>
      <c r="U7" s="18"/>
    </row>
    <row r="8" spans="1:21" ht="14.25" customHeight="1">
      <c r="A8" s="9"/>
      <c r="B8" s="266">
        <f>總表!A3</f>
        <v>45257</v>
      </c>
      <c r="C8" s="269" t="s">
        <v>39</v>
      </c>
      <c r="D8" s="269" t="s">
        <v>40</v>
      </c>
      <c r="E8" s="73">
        <v>1</v>
      </c>
      <c r="F8" s="271" t="str">
        <f>LEFT(總表!$D3,IF(F11=0,LEN(總表!$D3)+3,LEN(總表!$D3)-3))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74">
        <f>IF($F8="不供餐","",IFERROR(VLOOKUP($F8,依據!$B:L,11,FALSE),0)+IFERROR(VLOOKUP($F11,依據!$B:L,11,FALSE),0))</f>
        <v>0</v>
      </c>
      <c r="L8" s="277">
        <f>IF($F8="不供餐","",IFERROR(VLOOKUP($F8,依據!$B:M,12,FALSE),0)+IFERROR(VLOOKUP($F11,依據!$B:M,12,FALSE),0))</f>
        <v>0</v>
      </c>
      <c r="M8" s="277">
        <f>IF($F8="不供餐","",IFERROR(VLOOKUP($F8,依據!$B:N,13,FALSE),0)+IFERROR(VLOOKUP($F11,依據!$B:N,13,FALSE),0))</f>
        <v>0</v>
      </c>
      <c r="N8" s="298">
        <f>IF($F8="不供餐","",IFERROR(VLOOKUP($F8,依據!$B:O,14,FALSE),0)+IFERROR(VLOOKUP($F11,依據!$B:O,14,FALSE),0))</f>
        <v>0</v>
      </c>
      <c r="O8" s="277">
        <f>IF($F8="不供餐","",IFERROR(VLOOKUP($F8,依據!$B:P,15,FALSE),0)+IFERROR(VLOOKUP($F11,依據!$B:P,15,FALSE),0))</f>
        <v>0</v>
      </c>
      <c r="P8" s="277">
        <f>IF($F8="不供餐","",IFERROR(VLOOKUP($F8,依據!$B:Q,16,FALSE),0)+IFERROR(VLOOKUP($F11,依據!$B:Q,16,FALSE),0))</f>
        <v>0</v>
      </c>
      <c r="Q8" s="277">
        <f>IF($F8="不供餐","",IFERROR(VLOOKUP($F8,依據!$B:R,17,FALSE),0)+IFERROR(VLOOKUP($F11,依據!$B:R,17,FALSE),0))</f>
        <v>0</v>
      </c>
      <c r="R8" s="301">
        <f>IF($F8="不供餐","",SUM(K8*70+L8*75+M8*120+N8*25+O8*60+P8*45+Q8*4))</f>
        <v>0</v>
      </c>
      <c r="S8" s="303" t="str">
        <f>_xlfn.IFS(COUNTIF($F11,"水果")=1,"水果1種",(COUNTIF($F11,"水果"))=0,"")</f>
        <v/>
      </c>
      <c r="T8" s="291"/>
      <c r="U8" s="18"/>
    </row>
    <row r="9" spans="1:21" ht="14.25" customHeight="1">
      <c r="A9" s="9"/>
      <c r="B9" s="267"/>
      <c r="C9" s="230"/>
      <c r="D9" s="230"/>
      <c r="E9" s="63">
        <v>2</v>
      </c>
      <c r="F9" s="272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75"/>
      <c r="L9" s="275"/>
      <c r="M9" s="275"/>
      <c r="N9" s="299"/>
      <c r="O9" s="275"/>
      <c r="P9" s="275"/>
      <c r="Q9" s="275"/>
      <c r="R9" s="302"/>
      <c r="S9" s="303"/>
      <c r="T9" s="291"/>
      <c r="U9" s="18"/>
    </row>
    <row r="10" spans="1:21" ht="14.25" customHeight="1">
      <c r="A10" s="9"/>
      <c r="B10" s="267"/>
      <c r="C10" s="230"/>
      <c r="D10" s="230"/>
      <c r="E10" s="63">
        <v>3</v>
      </c>
      <c r="F10" s="273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5"/>
      <c r="L10" s="275"/>
      <c r="M10" s="275"/>
      <c r="N10" s="299"/>
      <c r="O10" s="275"/>
      <c r="P10" s="275"/>
      <c r="Q10" s="275"/>
      <c r="R10" s="302"/>
      <c r="S10" s="303"/>
      <c r="T10" s="291"/>
      <c r="U10" s="18"/>
    </row>
    <row r="11" spans="1:21" ht="14.25" customHeight="1">
      <c r="A11" s="9"/>
      <c r="B11" s="267"/>
      <c r="C11" s="230"/>
      <c r="D11" s="230"/>
      <c r="E11" s="63">
        <v>1</v>
      </c>
      <c r="F11" s="305">
        <f>IFERROR(IF(FIND("+水果",總表!$D3)&gt;0,"水果",""),0)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5"/>
      <c r="L11" s="275"/>
      <c r="M11" s="275"/>
      <c r="N11" s="299"/>
      <c r="O11" s="275"/>
      <c r="P11" s="275"/>
      <c r="Q11" s="275"/>
      <c r="R11" s="302"/>
      <c r="S11" s="303"/>
      <c r="T11" s="291"/>
      <c r="U11" s="19"/>
    </row>
    <row r="12" spans="1:21" ht="14.25" customHeight="1">
      <c r="A12" s="9"/>
      <c r="B12" s="267"/>
      <c r="C12" s="230"/>
      <c r="D12" s="230"/>
      <c r="E12" s="63">
        <v>2</v>
      </c>
      <c r="F12" s="306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5"/>
      <c r="L12" s="275"/>
      <c r="M12" s="275"/>
      <c r="N12" s="299"/>
      <c r="O12" s="275"/>
      <c r="P12" s="275"/>
      <c r="Q12" s="275"/>
      <c r="R12" s="302"/>
      <c r="S12" s="303"/>
      <c r="T12" s="291"/>
      <c r="U12" s="19"/>
    </row>
    <row r="13" spans="1:21" ht="14.25" customHeight="1">
      <c r="A13" s="9"/>
      <c r="B13" s="267"/>
      <c r="C13" s="230"/>
      <c r="D13" s="270"/>
      <c r="E13" s="64">
        <v>3</v>
      </c>
      <c r="F13" s="307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6"/>
      <c r="L13" s="276"/>
      <c r="M13" s="276"/>
      <c r="N13" s="300"/>
      <c r="O13" s="276"/>
      <c r="P13" s="276"/>
      <c r="Q13" s="276"/>
      <c r="R13" s="302"/>
      <c r="S13" s="304"/>
      <c r="T13" s="293"/>
      <c r="U13" s="19"/>
    </row>
    <row r="14" spans="1:21" ht="14.25" customHeight="1">
      <c r="A14" s="9"/>
      <c r="B14" s="267"/>
      <c r="C14" s="230"/>
      <c r="D14" s="230" t="s">
        <v>41</v>
      </c>
      <c r="E14" s="73">
        <v>1</v>
      </c>
      <c r="F14" s="308">
        <f>IFERROR(LEFT(總表!$E3,FIND("+",總表!$E3)-1),總表!$E3)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74">
        <f>IF($F14="不供餐","",IFERROR(VLOOKUP($F14,依據!$B:L,11,FALSE),0)+IFERROR(VLOOKUP($F17,依據!$B:L,11,FALSE),0))</f>
        <v>0</v>
      </c>
      <c r="L14" s="277">
        <f>IF($F14="不供餐","",IFERROR(VLOOKUP($F14,依據!$B:M,12,FALSE),0)+IFERROR(VLOOKUP($F17,依據!$B:M,12,FALSE),0))</f>
        <v>0</v>
      </c>
      <c r="M14" s="277">
        <f>IF($F14="不供餐","",IFERROR(VLOOKUP($F14,依據!$B:N,13,FALSE),0)+IFERROR(VLOOKUP($F17,依據!$B:N,13,FALSE),0))</f>
        <v>0</v>
      </c>
      <c r="N14" s="298">
        <f>IF($F14="不供餐","",IFERROR(VLOOKUP($F14,依據!$B:O,14,FALSE),0)+IFERROR(VLOOKUP($F17,依據!$B:O,14,FALSE),0))</f>
        <v>0</v>
      </c>
      <c r="O14" s="277">
        <f>IF($F14="不供餐","",IFERROR(VLOOKUP($F14,依據!$B:P,15,FALSE),0)+IFERROR(VLOOKUP($F17,依據!$B:P,15,FALSE),0))</f>
        <v>0</v>
      </c>
      <c r="P14" s="277">
        <f>IF($F14="不供餐","",IFERROR(VLOOKUP($F14,依據!$B:Q,16,FALSE),0)+IFERROR(VLOOKUP($F17,依據!$B:Q,16,FALSE),0))</f>
        <v>0</v>
      </c>
      <c r="Q14" s="277">
        <f>IF($F14="不供餐","",IFERROR(VLOOKUP($F14,依據!$B:R,17,FALSE),0)+IFERROR(VLOOKUP($F17,依據!$B:R,17,FALSE),0))</f>
        <v>0</v>
      </c>
      <c r="R14" s="301">
        <f>IF($F14="不供餐","",SUM(K14*70+L14*75+M14*120+N14*25+O14*60+P14*45+Q14*4))</f>
        <v>0</v>
      </c>
      <c r="S14" s="303" t="str">
        <f>_xlfn.IFS(COUNTIF($F14,"水果拼盤")=1,"水果3種",(COUNTIF($F14,"水果拼盤"))=0,"")</f>
        <v/>
      </c>
      <c r="T14" s="291"/>
      <c r="U14" s="19"/>
    </row>
    <row r="15" spans="1:21" ht="14.25" customHeight="1">
      <c r="A15" s="9"/>
      <c r="B15" s="267"/>
      <c r="C15" s="230"/>
      <c r="D15" s="230"/>
      <c r="E15" s="63">
        <v>2</v>
      </c>
      <c r="F15" s="309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5"/>
      <c r="L15" s="275"/>
      <c r="M15" s="275"/>
      <c r="N15" s="299"/>
      <c r="O15" s="275"/>
      <c r="P15" s="275"/>
      <c r="Q15" s="275"/>
      <c r="R15" s="302"/>
      <c r="S15" s="303"/>
      <c r="T15" s="291"/>
      <c r="U15" s="19"/>
    </row>
    <row r="16" spans="1:21" ht="14.25" customHeight="1">
      <c r="A16" s="9"/>
      <c r="B16" s="267"/>
      <c r="C16" s="230"/>
      <c r="D16" s="230"/>
      <c r="E16" s="63">
        <v>3</v>
      </c>
      <c r="F16" s="310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5"/>
      <c r="L16" s="275"/>
      <c r="M16" s="275"/>
      <c r="N16" s="299"/>
      <c r="O16" s="275"/>
      <c r="P16" s="275"/>
      <c r="Q16" s="275"/>
      <c r="R16" s="302"/>
      <c r="S16" s="303"/>
      <c r="T16" s="291"/>
      <c r="U16" s="19"/>
    </row>
    <row r="17" spans="1:21" ht="14.25" customHeight="1">
      <c r="A17" s="9"/>
      <c r="B17" s="267"/>
      <c r="C17" s="230"/>
      <c r="D17" s="230"/>
      <c r="E17" s="63">
        <v>1</v>
      </c>
      <c r="F17" s="311">
        <f>IFERROR(IF(FIND("+",總表!$E3)&gt;0,RIGHT(總表!$E3,LEN(總表!$E3)-FIND("+",總表!$E3)),""),0)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5"/>
      <c r="L17" s="275"/>
      <c r="M17" s="275"/>
      <c r="N17" s="299"/>
      <c r="O17" s="275"/>
      <c r="P17" s="275"/>
      <c r="Q17" s="275"/>
      <c r="R17" s="302"/>
      <c r="S17" s="303"/>
      <c r="T17" s="291"/>
      <c r="U17" s="19"/>
    </row>
    <row r="18" spans="1:21" ht="14.25" customHeight="1">
      <c r="A18" s="9"/>
      <c r="B18" s="267"/>
      <c r="C18" s="230"/>
      <c r="D18" s="230"/>
      <c r="E18" s="63">
        <v>2</v>
      </c>
      <c r="F18" s="312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5"/>
      <c r="L18" s="275"/>
      <c r="M18" s="275"/>
      <c r="N18" s="299"/>
      <c r="O18" s="275"/>
      <c r="P18" s="275"/>
      <c r="Q18" s="275"/>
      <c r="R18" s="302"/>
      <c r="S18" s="303"/>
      <c r="T18" s="291"/>
      <c r="U18" s="19"/>
    </row>
    <row r="19" spans="1:21" ht="14.25" customHeight="1">
      <c r="A19" s="9"/>
      <c r="B19" s="268"/>
      <c r="C19" s="270"/>
      <c r="D19" s="270"/>
      <c r="E19" s="64">
        <v>3</v>
      </c>
      <c r="F19" s="313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6"/>
      <c r="L19" s="276"/>
      <c r="M19" s="276"/>
      <c r="N19" s="300"/>
      <c r="O19" s="276"/>
      <c r="P19" s="276"/>
      <c r="Q19" s="276"/>
      <c r="R19" s="302"/>
      <c r="S19" s="304"/>
      <c r="T19" s="293"/>
      <c r="U19" s="19"/>
    </row>
    <row r="20" spans="1:21" ht="14.25" customHeight="1">
      <c r="A20" s="9"/>
      <c r="B20" s="314">
        <f>DATE(YEAR(B8),MONTH(B8),DAY(B8)+1)</f>
        <v>45258</v>
      </c>
      <c r="C20" s="315" t="s">
        <v>15</v>
      </c>
      <c r="D20" s="269" t="s">
        <v>40</v>
      </c>
      <c r="E20" s="73">
        <v>1</v>
      </c>
      <c r="F20" s="271" t="str">
        <f>LEFT(總表!$D4,IF(F23=0,LEN(總表!$D4)+3,LEN(總表!$D4)-3))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74">
        <f>IF($F20="不供餐","",IFERROR(VLOOKUP($F20,依據!$B:L,11,FALSE),0)+IFERROR(VLOOKUP($F23,依據!$B:L,11,FALSE),0))</f>
        <v>0</v>
      </c>
      <c r="L20" s="277">
        <f>IF($F20="不供餐","",IFERROR(VLOOKUP($F20,依據!$B:M,12,FALSE),0)+IFERROR(VLOOKUP($F23,依據!$B:M,12,FALSE),0))</f>
        <v>0</v>
      </c>
      <c r="M20" s="277">
        <f>IF($F20="不供餐","",IFERROR(VLOOKUP($F20,依據!$B:N,13,FALSE),0)+IFERROR(VLOOKUP($F23,依據!$B:N,13,FALSE),0))</f>
        <v>0</v>
      </c>
      <c r="N20" s="298">
        <f>IF($F20="不供餐","",IFERROR(VLOOKUP($F20,依據!$B:O,14,FALSE),0)+IFERROR(VLOOKUP($F23,依據!$B:O,14,FALSE),0))</f>
        <v>0</v>
      </c>
      <c r="O20" s="277">
        <f>IF($F20="不供餐","",IFERROR(VLOOKUP($F20,依據!$B:P,15,FALSE),0)+IFERROR(VLOOKUP($F23,依據!$B:P,15,FALSE),0))</f>
        <v>0</v>
      </c>
      <c r="P20" s="277">
        <f>IF($F20="不供餐","",IFERROR(VLOOKUP($F20,依據!$B:Q,16,FALSE),0)+IFERROR(VLOOKUP($F23,依據!$B:Q,16,FALSE),0))</f>
        <v>0</v>
      </c>
      <c r="Q20" s="277">
        <f>IF($F20="不供餐","",IFERROR(VLOOKUP($F20,依據!$B:R,17,FALSE),0)+IFERROR(VLOOKUP($F23,依據!$B:R,17,FALSE),0))</f>
        <v>0</v>
      </c>
      <c r="R20" s="301">
        <f>IF($F20="不供餐","",SUM(K20*70+L20*75+M20*120+N20*25+O20*60+P20*45+Q20*4))</f>
        <v>0</v>
      </c>
      <c r="S20" s="303" t="str">
        <f>_xlfn.IFS(COUNTIF($F23,"水果")=1,"水果1種",(COUNTIF($F23,"水果"))=0,"")</f>
        <v/>
      </c>
      <c r="T20" s="291"/>
      <c r="U20" s="19"/>
    </row>
    <row r="21" spans="1:21" ht="14.25" customHeight="1">
      <c r="A21" s="9"/>
      <c r="B21" s="267"/>
      <c r="C21" s="230"/>
      <c r="D21" s="230"/>
      <c r="E21" s="63">
        <v>2</v>
      </c>
      <c r="F21" s="272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75"/>
      <c r="L21" s="275"/>
      <c r="M21" s="275"/>
      <c r="N21" s="299"/>
      <c r="O21" s="275"/>
      <c r="P21" s="275"/>
      <c r="Q21" s="275"/>
      <c r="R21" s="302"/>
      <c r="S21" s="303"/>
      <c r="T21" s="291"/>
      <c r="U21" s="19"/>
    </row>
    <row r="22" spans="1:21" ht="14.25" customHeight="1">
      <c r="A22" s="9"/>
      <c r="B22" s="267"/>
      <c r="C22" s="230"/>
      <c r="D22" s="230"/>
      <c r="E22" s="63">
        <v>3</v>
      </c>
      <c r="F22" s="273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75"/>
      <c r="L22" s="275"/>
      <c r="M22" s="275"/>
      <c r="N22" s="299"/>
      <c r="O22" s="275"/>
      <c r="P22" s="275"/>
      <c r="Q22" s="275"/>
      <c r="R22" s="302"/>
      <c r="S22" s="303"/>
      <c r="T22" s="291"/>
      <c r="U22" s="19"/>
    </row>
    <row r="23" spans="1:21" ht="14.25" customHeight="1">
      <c r="A23" s="43"/>
      <c r="B23" s="267"/>
      <c r="C23" s="230"/>
      <c r="D23" s="230"/>
      <c r="E23" s="63">
        <v>1</v>
      </c>
      <c r="F23" s="316">
        <f>IFERROR(IF(FIND("+水果",總表!$D4)&gt;0,"水果",""),0)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5"/>
      <c r="L23" s="275"/>
      <c r="M23" s="275"/>
      <c r="N23" s="299"/>
      <c r="O23" s="275"/>
      <c r="P23" s="275"/>
      <c r="Q23" s="275"/>
      <c r="R23" s="302"/>
      <c r="S23" s="303"/>
      <c r="T23" s="291"/>
      <c r="U23" s="19"/>
    </row>
    <row r="24" spans="1:21" ht="14.25" customHeight="1">
      <c r="A24" s="44"/>
      <c r="B24" s="267"/>
      <c r="C24" s="230"/>
      <c r="D24" s="230"/>
      <c r="E24" s="63">
        <v>2</v>
      </c>
      <c r="F24" s="306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5"/>
      <c r="L24" s="275"/>
      <c r="M24" s="275"/>
      <c r="N24" s="299"/>
      <c r="O24" s="275"/>
      <c r="P24" s="275"/>
      <c r="Q24" s="275"/>
      <c r="R24" s="302"/>
      <c r="S24" s="303"/>
      <c r="T24" s="291"/>
      <c r="U24" s="19"/>
    </row>
    <row r="25" spans="1:21" ht="14.25" customHeight="1">
      <c r="A25" s="44"/>
      <c r="B25" s="267"/>
      <c r="C25" s="230"/>
      <c r="D25" s="270"/>
      <c r="E25" s="64">
        <v>3</v>
      </c>
      <c r="F25" s="307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6"/>
      <c r="L25" s="276"/>
      <c r="M25" s="276"/>
      <c r="N25" s="300"/>
      <c r="O25" s="276"/>
      <c r="P25" s="276"/>
      <c r="Q25" s="276"/>
      <c r="R25" s="302"/>
      <c r="S25" s="304"/>
      <c r="T25" s="293"/>
      <c r="U25" s="19"/>
    </row>
    <row r="26" spans="1:21" ht="14.25" customHeight="1">
      <c r="A26" s="9"/>
      <c r="B26" s="267"/>
      <c r="C26" s="230"/>
      <c r="D26" s="230" t="s">
        <v>41</v>
      </c>
      <c r="E26" s="73">
        <v>1</v>
      </c>
      <c r="F26" s="308">
        <f>IFERROR(LEFT(總表!$E4,FIND("+",總表!$E4)-1),總表!$E4)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74">
        <f>IF($F26="不供餐","",IFERROR(VLOOKUP($F26,依據!$B:L,11,FALSE),0)+IFERROR(VLOOKUP($F29,依據!$B:L,11,FALSE),0))</f>
        <v>0</v>
      </c>
      <c r="L26" s="277">
        <f>IF($F26="不供餐","",IFERROR(VLOOKUP($F26,依據!$B:M,12,FALSE),0)+IFERROR(VLOOKUP($F29,依據!$B:M,12,FALSE),0))</f>
        <v>0</v>
      </c>
      <c r="M26" s="277">
        <f>IF($F26="不供餐","",IFERROR(VLOOKUP($F26,依據!$B:N,13,FALSE),0)+IFERROR(VLOOKUP($F29,依據!$B:N,13,FALSE),0))</f>
        <v>0</v>
      </c>
      <c r="N26" s="298">
        <f>IF($F26="不供餐","",IFERROR(VLOOKUP($F26,依據!$B:O,14,FALSE),0)+IFERROR(VLOOKUP($F29,依據!$B:O,14,FALSE),0))</f>
        <v>0</v>
      </c>
      <c r="O26" s="277">
        <f>IF($F26="不供餐","",IFERROR(VLOOKUP($F26,依據!$B:P,15,FALSE),0)+IFERROR(VLOOKUP($F29,依據!$B:P,15,FALSE),0))</f>
        <v>0</v>
      </c>
      <c r="P26" s="277">
        <f>IF($F26="不供餐","",IFERROR(VLOOKUP($F26,依據!$B:Q,16,FALSE),0)+IFERROR(VLOOKUP($F29,依據!$B:Q,16,FALSE),0))</f>
        <v>0</v>
      </c>
      <c r="Q26" s="277">
        <f>IF($F26="不供餐","",IFERROR(VLOOKUP($F26,依據!$B:R,17,FALSE),0)+IFERROR(VLOOKUP($F29,依據!$B:R,17,FALSE),0))</f>
        <v>0</v>
      </c>
      <c r="R26" s="301">
        <f>IF($F26="不供餐","",SUM(K26*70+L26*75+M26*120+N26*25+O26*60+P26*45+Q26*4))</f>
        <v>0</v>
      </c>
      <c r="S26" s="303" t="str">
        <f>_xlfn.IFS(COUNTIF($F26,"水果拼盤")=1,"水果3種",(COUNTIF($F26,"水果拼盤"))=0,"")</f>
        <v/>
      </c>
      <c r="T26" s="291"/>
      <c r="U26" s="19"/>
    </row>
    <row r="27" spans="1:21" ht="14.25" customHeight="1">
      <c r="A27" s="9"/>
      <c r="B27" s="267"/>
      <c r="C27" s="230"/>
      <c r="D27" s="230"/>
      <c r="E27" s="63">
        <v>2</v>
      </c>
      <c r="F27" s="309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5"/>
      <c r="L27" s="275"/>
      <c r="M27" s="275"/>
      <c r="N27" s="299"/>
      <c r="O27" s="275"/>
      <c r="P27" s="275"/>
      <c r="Q27" s="275"/>
      <c r="R27" s="302"/>
      <c r="S27" s="303"/>
      <c r="T27" s="291"/>
      <c r="U27" s="19"/>
    </row>
    <row r="28" spans="1:21" ht="14.25" customHeight="1">
      <c r="A28" s="9"/>
      <c r="B28" s="267"/>
      <c r="C28" s="230"/>
      <c r="D28" s="230"/>
      <c r="E28" s="63">
        <v>3</v>
      </c>
      <c r="F28" s="310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5"/>
      <c r="L28" s="275"/>
      <c r="M28" s="275"/>
      <c r="N28" s="299"/>
      <c r="O28" s="275"/>
      <c r="P28" s="275"/>
      <c r="Q28" s="275"/>
      <c r="R28" s="302"/>
      <c r="S28" s="303"/>
      <c r="T28" s="291"/>
      <c r="U28" s="19"/>
    </row>
    <row r="29" spans="1:21" ht="14.25" customHeight="1">
      <c r="A29" s="9"/>
      <c r="B29" s="267"/>
      <c r="C29" s="230"/>
      <c r="D29" s="230"/>
      <c r="E29" s="63">
        <v>1</v>
      </c>
      <c r="F29" s="311">
        <f>IFERROR(IF(FIND("+",總表!$E4)&gt;0,RIGHT(總表!$E4,LEN(總表!$E4)-FIND("+",總表!$E4)),""),0)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5"/>
      <c r="L29" s="275"/>
      <c r="M29" s="275"/>
      <c r="N29" s="299"/>
      <c r="O29" s="275"/>
      <c r="P29" s="275"/>
      <c r="Q29" s="275"/>
      <c r="R29" s="302"/>
      <c r="S29" s="303"/>
      <c r="T29" s="291"/>
      <c r="U29" s="19"/>
    </row>
    <row r="30" spans="1:21" ht="14.25" customHeight="1">
      <c r="A30" s="9"/>
      <c r="B30" s="267"/>
      <c r="C30" s="230"/>
      <c r="D30" s="230"/>
      <c r="E30" s="63">
        <v>2</v>
      </c>
      <c r="F30" s="312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5"/>
      <c r="L30" s="275"/>
      <c r="M30" s="275"/>
      <c r="N30" s="299"/>
      <c r="O30" s="275"/>
      <c r="P30" s="275"/>
      <c r="Q30" s="275"/>
      <c r="R30" s="302"/>
      <c r="S30" s="303"/>
      <c r="T30" s="291"/>
      <c r="U30" s="19"/>
    </row>
    <row r="31" spans="1:21" ht="14.25" customHeight="1">
      <c r="A31" s="9"/>
      <c r="B31" s="268"/>
      <c r="C31" s="270"/>
      <c r="D31" s="270"/>
      <c r="E31" s="64">
        <v>3</v>
      </c>
      <c r="F31" s="313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6"/>
      <c r="L31" s="276"/>
      <c r="M31" s="276"/>
      <c r="N31" s="300"/>
      <c r="O31" s="276"/>
      <c r="P31" s="276"/>
      <c r="Q31" s="276"/>
      <c r="R31" s="302"/>
      <c r="S31" s="304"/>
      <c r="T31" s="293"/>
      <c r="U31" s="19"/>
    </row>
    <row r="32" spans="1:21" ht="14.25" customHeight="1">
      <c r="A32" s="9"/>
      <c r="B32" s="314">
        <f>DATE(YEAR(B20),MONTH(B20),DAY(B20)+1)</f>
        <v>45259</v>
      </c>
      <c r="C32" s="315" t="s">
        <v>16</v>
      </c>
      <c r="D32" s="269" t="s">
        <v>40</v>
      </c>
      <c r="E32" s="73">
        <v>1</v>
      </c>
      <c r="F32" s="271" t="str">
        <f>LEFT(總表!$D5,IF(F35=0,LEN(總表!$D5)+3,LEN(總表!$D5)-3))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74">
        <f>IF($F32="不供餐","",IFERROR(VLOOKUP($F32,依據!$B:L,11,FALSE),0)+IFERROR(VLOOKUP($F35,依據!$B:L,11,FALSE),0))</f>
        <v>0</v>
      </c>
      <c r="L32" s="277">
        <f>IF($F32="不供餐","",IFERROR(VLOOKUP($F32,依據!$B:M,12,FALSE),0)+IFERROR(VLOOKUP($F35,依據!$B:M,12,FALSE),0))</f>
        <v>0</v>
      </c>
      <c r="M32" s="277">
        <f>IF($F32="不供餐","",IFERROR(VLOOKUP($F32,依據!$B:N,13,FALSE),0)+IFERROR(VLOOKUP($F35,依據!$B:N,13,FALSE),0))</f>
        <v>0</v>
      </c>
      <c r="N32" s="298">
        <f>IF($F32="不供餐","",IFERROR(VLOOKUP($F32,依據!$B:O,14,FALSE),0)+IFERROR(VLOOKUP($F35,依據!$B:O,14,FALSE),0))</f>
        <v>0</v>
      </c>
      <c r="O32" s="277">
        <f>IF($F32="不供餐","",IFERROR(VLOOKUP($F32,依據!$B:P,15,FALSE),0)+IFERROR(VLOOKUP($F35,依據!$B:P,15,FALSE),0))</f>
        <v>0</v>
      </c>
      <c r="P32" s="277">
        <f>IF($F32="不供餐","",IFERROR(VLOOKUP($F32,依據!$B:Q,16,FALSE),0)+IFERROR(VLOOKUP($F35,依據!$B:Q,16,FALSE),0))</f>
        <v>0</v>
      </c>
      <c r="Q32" s="277">
        <f>IF($F32="不供餐","",IFERROR(VLOOKUP($F32,依據!$B:R,17,FALSE),0)+IFERROR(VLOOKUP($F35,依據!$B:R,17,FALSE),0))</f>
        <v>0</v>
      </c>
      <c r="R32" s="301">
        <f>IF($F32="不供餐","",SUM(K32*70+L32*75+M32*120+N32*25+O32*60+P32*45+Q32*4))</f>
        <v>0</v>
      </c>
      <c r="S32" s="303" t="str">
        <f>_xlfn.IFS(COUNTIF($F35,"水果")=1,"水果1種",(COUNTIF($F35,"水果"))=0,"")</f>
        <v/>
      </c>
      <c r="T32" s="291"/>
      <c r="U32" s="19"/>
    </row>
    <row r="33" spans="1:21" ht="14.25" customHeight="1">
      <c r="A33" s="9"/>
      <c r="B33" s="267"/>
      <c r="C33" s="230"/>
      <c r="D33" s="230"/>
      <c r="E33" s="63">
        <v>2</v>
      </c>
      <c r="F33" s="272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75"/>
      <c r="L33" s="275"/>
      <c r="M33" s="275"/>
      <c r="N33" s="299"/>
      <c r="O33" s="275"/>
      <c r="P33" s="275"/>
      <c r="Q33" s="275"/>
      <c r="R33" s="302"/>
      <c r="S33" s="303"/>
      <c r="T33" s="291"/>
      <c r="U33" s="19"/>
    </row>
    <row r="34" spans="1:21" ht="14.25" customHeight="1">
      <c r="A34" s="9"/>
      <c r="B34" s="267"/>
      <c r="C34" s="230"/>
      <c r="D34" s="230"/>
      <c r="E34" s="63">
        <v>3</v>
      </c>
      <c r="F34" s="273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5"/>
      <c r="L34" s="275"/>
      <c r="M34" s="275"/>
      <c r="N34" s="299"/>
      <c r="O34" s="275"/>
      <c r="P34" s="275"/>
      <c r="Q34" s="275"/>
      <c r="R34" s="302"/>
      <c r="S34" s="303"/>
      <c r="T34" s="291"/>
      <c r="U34" s="19"/>
    </row>
    <row r="35" spans="1:21" ht="14.25" customHeight="1">
      <c r="A35" s="9"/>
      <c r="B35" s="267"/>
      <c r="C35" s="230"/>
      <c r="D35" s="230"/>
      <c r="E35" s="63">
        <v>1</v>
      </c>
      <c r="F35" s="316">
        <f>IFERROR(IF(FIND("+水果",總表!$D5)&gt;0,"水果",""),0)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5"/>
      <c r="L35" s="275"/>
      <c r="M35" s="275"/>
      <c r="N35" s="299"/>
      <c r="O35" s="275"/>
      <c r="P35" s="275"/>
      <c r="Q35" s="275"/>
      <c r="R35" s="302"/>
      <c r="S35" s="303"/>
      <c r="T35" s="291"/>
      <c r="U35" s="19"/>
    </row>
    <row r="36" spans="1:21" ht="14.25" customHeight="1">
      <c r="A36" s="9"/>
      <c r="B36" s="267"/>
      <c r="C36" s="230"/>
      <c r="D36" s="230"/>
      <c r="E36" s="63">
        <v>2</v>
      </c>
      <c r="F36" s="306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5"/>
      <c r="L36" s="275"/>
      <c r="M36" s="275"/>
      <c r="N36" s="299"/>
      <c r="O36" s="275"/>
      <c r="P36" s="275"/>
      <c r="Q36" s="275"/>
      <c r="R36" s="302"/>
      <c r="S36" s="303"/>
      <c r="T36" s="291"/>
      <c r="U36" s="19"/>
    </row>
    <row r="37" spans="1:21" ht="14.25" customHeight="1">
      <c r="A37" s="9"/>
      <c r="B37" s="267"/>
      <c r="C37" s="230"/>
      <c r="D37" s="270"/>
      <c r="E37" s="64">
        <v>3</v>
      </c>
      <c r="F37" s="307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6"/>
      <c r="L37" s="276"/>
      <c r="M37" s="276"/>
      <c r="N37" s="300"/>
      <c r="O37" s="276"/>
      <c r="P37" s="276"/>
      <c r="Q37" s="276"/>
      <c r="R37" s="302"/>
      <c r="S37" s="304"/>
      <c r="T37" s="293"/>
      <c r="U37" s="19"/>
    </row>
    <row r="38" spans="1:21" ht="14.25" customHeight="1">
      <c r="A38" s="9"/>
      <c r="B38" s="267"/>
      <c r="C38" s="230"/>
      <c r="D38" s="230" t="s">
        <v>41</v>
      </c>
      <c r="E38" s="73">
        <v>1</v>
      </c>
      <c r="F38" s="308">
        <f>IFERROR(LEFT(總表!$E5,FIND("+",總表!$E5)-1),總表!$E5)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74">
        <v>0</v>
      </c>
      <c r="L38" s="277">
        <v>1.5</v>
      </c>
      <c r="M38" s="277">
        <v>0</v>
      </c>
      <c r="N38" s="298">
        <v>0</v>
      </c>
      <c r="O38" s="277">
        <v>0</v>
      </c>
      <c r="P38" s="277">
        <v>0.5</v>
      </c>
      <c r="Q38" s="277">
        <v>0</v>
      </c>
      <c r="R38" s="301">
        <f>IF($F38="不供餐","",SUM(K38*70+L38*75+M38*120+N38*25+O38*60+P38*45+Q38*4))</f>
        <v>135</v>
      </c>
      <c r="S38" s="303"/>
      <c r="T38" s="291"/>
      <c r="U38" s="19"/>
    </row>
    <row r="39" spans="1:21" ht="14.25" customHeight="1">
      <c r="A39" s="9"/>
      <c r="B39" s="267"/>
      <c r="C39" s="230"/>
      <c r="D39" s="230"/>
      <c r="E39" s="63">
        <v>2</v>
      </c>
      <c r="F39" s="309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5"/>
      <c r="L39" s="275"/>
      <c r="M39" s="275"/>
      <c r="N39" s="299"/>
      <c r="O39" s="275"/>
      <c r="P39" s="275"/>
      <c r="Q39" s="275"/>
      <c r="R39" s="302"/>
      <c r="S39" s="303"/>
      <c r="T39" s="291"/>
      <c r="U39" s="19"/>
    </row>
    <row r="40" spans="1:21" ht="14.25" customHeight="1">
      <c r="A40" s="9"/>
      <c r="B40" s="267"/>
      <c r="C40" s="230"/>
      <c r="D40" s="230"/>
      <c r="E40" s="63">
        <v>3</v>
      </c>
      <c r="F40" s="310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5"/>
      <c r="L40" s="275"/>
      <c r="M40" s="275"/>
      <c r="N40" s="299"/>
      <c r="O40" s="275"/>
      <c r="P40" s="275"/>
      <c r="Q40" s="275"/>
      <c r="R40" s="302"/>
      <c r="S40" s="303"/>
      <c r="T40" s="291"/>
      <c r="U40" s="19"/>
    </row>
    <row r="41" spans="1:21" ht="14.25" customHeight="1">
      <c r="A41" s="9"/>
      <c r="B41" s="267"/>
      <c r="C41" s="230"/>
      <c r="D41" s="230"/>
      <c r="E41" s="63">
        <v>1</v>
      </c>
      <c r="F41" s="311">
        <f>IFERROR(IF(FIND("+",總表!$E5)&gt;0,RIGHT(總表!$E5,LEN(總表!$E5)-FIND("+",總表!$E5)),""),0)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5"/>
      <c r="L41" s="275"/>
      <c r="M41" s="275"/>
      <c r="N41" s="299"/>
      <c r="O41" s="275"/>
      <c r="P41" s="275"/>
      <c r="Q41" s="275"/>
      <c r="R41" s="302"/>
      <c r="S41" s="303"/>
      <c r="T41" s="291"/>
      <c r="U41" s="19"/>
    </row>
    <row r="42" spans="1:21" ht="14.25" customHeight="1">
      <c r="A42" s="9"/>
      <c r="B42" s="267"/>
      <c r="C42" s="230"/>
      <c r="D42" s="230"/>
      <c r="E42" s="63">
        <v>2</v>
      </c>
      <c r="F42" s="312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5"/>
      <c r="L42" s="275"/>
      <c r="M42" s="275"/>
      <c r="N42" s="299"/>
      <c r="O42" s="275"/>
      <c r="P42" s="275"/>
      <c r="Q42" s="275"/>
      <c r="R42" s="302"/>
      <c r="S42" s="303"/>
      <c r="T42" s="291"/>
      <c r="U42" s="19"/>
    </row>
    <row r="43" spans="1:21" ht="14.25" customHeight="1">
      <c r="A43" s="9"/>
      <c r="B43" s="268"/>
      <c r="C43" s="270"/>
      <c r="D43" s="270"/>
      <c r="E43" s="64">
        <v>3</v>
      </c>
      <c r="F43" s="313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6"/>
      <c r="L43" s="276"/>
      <c r="M43" s="276"/>
      <c r="N43" s="300"/>
      <c r="O43" s="276"/>
      <c r="P43" s="276"/>
      <c r="Q43" s="276"/>
      <c r="R43" s="302"/>
      <c r="S43" s="304"/>
      <c r="T43" s="293"/>
      <c r="U43" s="19"/>
    </row>
    <row r="44" spans="1:21" ht="14.25" customHeight="1">
      <c r="A44" s="9"/>
      <c r="B44" s="314">
        <f t="shared" ref="B44" si="0">DATE(YEAR(B32),MONTH(B32),DAY(B32)+1)</f>
        <v>45260</v>
      </c>
      <c r="C44" s="315" t="s">
        <v>17</v>
      </c>
      <c r="D44" s="315" t="s">
        <v>40</v>
      </c>
      <c r="E44" s="73">
        <v>1</v>
      </c>
      <c r="F44" s="271" t="str">
        <f>LEFT(總表!$D6,IF(F47=0,LEN(總表!$D6)+3,LEN(總表!$D6)-3))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74">
        <f>IF($F44="不供餐","",IFERROR(VLOOKUP($F44,依據!$B:L,11,FALSE),0)+IFERROR(VLOOKUP($F47,依據!$B:L,11,FALSE),0))</f>
        <v>0</v>
      </c>
      <c r="L44" s="277">
        <f>IF($F44="不供餐","",IFERROR(VLOOKUP($F44,依據!$B:M,12,FALSE),0)+IFERROR(VLOOKUP($F47,依據!$B:M,12,FALSE),0))</f>
        <v>0</v>
      </c>
      <c r="M44" s="277">
        <f>IF($F44="不供餐","",IFERROR(VLOOKUP($F44,依據!$B:N,13,FALSE),0)+IFERROR(VLOOKUP($F47,依據!$B:N,13,FALSE),0))</f>
        <v>0</v>
      </c>
      <c r="N44" s="298">
        <f>IF($F44="不供餐","",IFERROR(VLOOKUP($F44,依據!$B:O,14,FALSE),0)+IFERROR(VLOOKUP($F47,依據!$B:O,14,FALSE),0))</f>
        <v>0</v>
      </c>
      <c r="O44" s="277">
        <f>IF($F44="不供餐","",IFERROR(VLOOKUP($F44,依據!$B:P,15,FALSE),0)+IFERROR(VLOOKUP($F47,依據!$B:P,15,FALSE),0))</f>
        <v>0</v>
      </c>
      <c r="P44" s="277">
        <f>IF($F44="不供餐","",IFERROR(VLOOKUP($F44,依據!$B:Q,16,FALSE),0)+IFERROR(VLOOKUP($F47,依據!$B:Q,16,FALSE),0))</f>
        <v>0</v>
      </c>
      <c r="Q44" s="277">
        <f>IF($F44="不供餐","",IFERROR(VLOOKUP($F44,依據!$B:R,17,FALSE),0)+IFERROR(VLOOKUP($F47,依據!$B:R,17,FALSE),0))</f>
        <v>0</v>
      </c>
      <c r="R44" s="301">
        <f>IF($F44="不供餐","",SUM(K44*70+L44*75+M44*120+N44*25+O44*60+P44*45+Q44*4))</f>
        <v>0</v>
      </c>
      <c r="S44" s="303" t="str">
        <f>_xlfn.IFS(COUNTIF($F47,"水果")=1,"水果1種",(COUNTIF($F47,"水果"))=0,"")</f>
        <v/>
      </c>
      <c r="T44" s="291"/>
      <c r="U44" s="19"/>
    </row>
    <row r="45" spans="1:21" ht="14.25" customHeight="1">
      <c r="A45" s="9"/>
      <c r="B45" s="267"/>
      <c r="C45" s="230"/>
      <c r="D45" s="230"/>
      <c r="E45" s="63">
        <v>2</v>
      </c>
      <c r="F45" s="272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75"/>
      <c r="L45" s="275"/>
      <c r="M45" s="275"/>
      <c r="N45" s="299"/>
      <c r="O45" s="275"/>
      <c r="P45" s="275"/>
      <c r="Q45" s="275"/>
      <c r="R45" s="302"/>
      <c r="S45" s="303"/>
      <c r="T45" s="291"/>
      <c r="U45" s="19"/>
    </row>
    <row r="46" spans="1:21" ht="14.25" customHeight="1">
      <c r="A46" s="9"/>
      <c r="B46" s="267"/>
      <c r="C46" s="230"/>
      <c r="D46" s="230"/>
      <c r="E46" s="63">
        <v>3</v>
      </c>
      <c r="F46" s="273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5"/>
      <c r="L46" s="275"/>
      <c r="M46" s="275"/>
      <c r="N46" s="299"/>
      <c r="O46" s="275"/>
      <c r="P46" s="275"/>
      <c r="Q46" s="275"/>
      <c r="R46" s="302"/>
      <c r="S46" s="303"/>
      <c r="T46" s="291"/>
      <c r="U46" s="19"/>
    </row>
    <row r="47" spans="1:21" ht="14.25" customHeight="1">
      <c r="A47" s="9"/>
      <c r="B47" s="267"/>
      <c r="C47" s="230"/>
      <c r="D47" s="230"/>
      <c r="E47" s="63">
        <v>1</v>
      </c>
      <c r="F47" s="316">
        <f>IFERROR(IF(FIND("+水果",總表!$D6)&gt;0,"水果",""),0)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5"/>
      <c r="L47" s="275"/>
      <c r="M47" s="275"/>
      <c r="N47" s="299"/>
      <c r="O47" s="275"/>
      <c r="P47" s="275"/>
      <c r="Q47" s="275"/>
      <c r="R47" s="302"/>
      <c r="S47" s="303"/>
      <c r="T47" s="291"/>
      <c r="U47" s="19"/>
    </row>
    <row r="48" spans="1:21" ht="14.25" customHeight="1">
      <c r="A48" s="9"/>
      <c r="B48" s="267"/>
      <c r="C48" s="230"/>
      <c r="D48" s="230"/>
      <c r="E48" s="63">
        <v>2</v>
      </c>
      <c r="F48" s="306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5"/>
      <c r="L48" s="275"/>
      <c r="M48" s="275"/>
      <c r="N48" s="299"/>
      <c r="O48" s="275"/>
      <c r="P48" s="275"/>
      <c r="Q48" s="275"/>
      <c r="R48" s="302"/>
      <c r="S48" s="303"/>
      <c r="T48" s="291"/>
      <c r="U48" s="19"/>
    </row>
    <row r="49" spans="1:21" ht="14.25" customHeight="1">
      <c r="A49" s="9"/>
      <c r="B49" s="267"/>
      <c r="C49" s="230"/>
      <c r="D49" s="270"/>
      <c r="E49" s="64">
        <v>3</v>
      </c>
      <c r="F49" s="307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6"/>
      <c r="L49" s="276"/>
      <c r="M49" s="276"/>
      <c r="N49" s="300"/>
      <c r="O49" s="276"/>
      <c r="P49" s="276"/>
      <c r="Q49" s="276"/>
      <c r="R49" s="302"/>
      <c r="S49" s="304"/>
      <c r="T49" s="293"/>
      <c r="U49" s="19"/>
    </row>
    <row r="50" spans="1:21" ht="14.25" customHeight="1">
      <c r="A50" s="9"/>
      <c r="B50" s="267"/>
      <c r="C50" s="230"/>
      <c r="D50" s="230" t="s">
        <v>41</v>
      </c>
      <c r="E50" s="73">
        <v>1</v>
      </c>
      <c r="F50" s="308">
        <f>IFERROR(LEFT(總表!$E6,FIND("+",總表!$E6)-1),總表!$E6)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74">
        <f>IF($F50="不供餐","",IFERROR(VLOOKUP($F50,依據!$B:L,11,FALSE),0)+IFERROR(VLOOKUP($F53,依據!$B:L,11,FALSE),0))</f>
        <v>0</v>
      </c>
      <c r="L50" s="277">
        <f>IF($F50="不供餐","",IFERROR(VLOOKUP($F50,依據!$B:M,12,FALSE),0)+IFERROR(VLOOKUP($F53,依據!$B:M,12,FALSE),0))</f>
        <v>0</v>
      </c>
      <c r="M50" s="277">
        <f>IF($F50="不供餐","",IFERROR(VLOOKUP($F50,依據!$B:N,13,FALSE),0)+IFERROR(VLOOKUP($F53,依據!$B:N,13,FALSE),0))</f>
        <v>0</v>
      </c>
      <c r="N50" s="298">
        <f>IF($F50="不供餐","",IFERROR(VLOOKUP($F50,依據!$B:O,14,FALSE),0)+IFERROR(VLOOKUP($F53,依據!$B:O,14,FALSE),0))</f>
        <v>0</v>
      </c>
      <c r="O50" s="277">
        <f>IF($F50="不供餐","",IFERROR(VLOOKUP($F50,依據!$B:P,15,FALSE),0)+IFERROR(VLOOKUP($F53,依據!$B:P,15,FALSE),0))</f>
        <v>0</v>
      </c>
      <c r="P50" s="277">
        <f>IF($F50="不供餐","",IFERROR(VLOOKUP($F50,依據!$B:Q,16,FALSE),0)+IFERROR(VLOOKUP($F53,依據!$B:Q,16,FALSE),0))</f>
        <v>0</v>
      </c>
      <c r="Q50" s="277">
        <f>IF($F50="不供餐","",IFERROR(VLOOKUP($F50,依據!$B:R,17,FALSE),0)+IFERROR(VLOOKUP($F53,依據!$B:R,17,FALSE),0))</f>
        <v>0</v>
      </c>
      <c r="R50" s="301">
        <f>IF($F50="不供餐","",SUM(K50*70+L50*75+M50*120+N50*25+O50*60+P50*45+Q50*4))</f>
        <v>0</v>
      </c>
      <c r="S50" s="303" t="str">
        <f>_xlfn.IFS(COUNTIF($F50,"水果拼盤")=1,"水果3種",(COUNTIF($F50,"水果拼盤"))=0,"")</f>
        <v/>
      </c>
      <c r="T50" s="291"/>
      <c r="U50" s="19"/>
    </row>
    <row r="51" spans="1:21" ht="14.25" customHeight="1">
      <c r="A51" s="9"/>
      <c r="B51" s="267"/>
      <c r="C51" s="230"/>
      <c r="D51" s="230"/>
      <c r="E51" s="63">
        <v>2</v>
      </c>
      <c r="F51" s="309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5"/>
      <c r="L51" s="275"/>
      <c r="M51" s="275"/>
      <c r="N51" s="299"/>
      <c r="O51" s="275"/>
      <c r="P51" s="275"/>
      <c r="Q51" s="275"/>
      <c r="R51" s="302"/>
      <c r="S51" s="303"/>
      <c r="T51" s="291"/>
      <c r="U51" s="19"/>
    </row>
    <row r="52" spans="1:21" ht="14.25" customHeight="1">
      <c r="A52" s="9"/>
      <c r="B52" s="267"/>
      <c r="C52" s="230"/>
      <c r="D52" s="230"/>
      <c r="E52" s="63">
        <v>3</v>
      </c>
      <c r="F52" s="310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5"/>
      <c r="L52" s="275"/>
      <c r="M52" s="275"/>
      <c r="N52" s="299"/>
      <c r="O52" s="275"/>
      <c r="P52" s="275"/>
      <c r="Q52" s="275"/>
      <c r="R52" s="302"/>
      <c r="S52" s="303"/>
      <c r="T52" s="291"/>
      <c r="U52" s="19"/>
    </row>
    <row r="53" spans="1:21" ht="14.25" customHeight="1">
      <c r="A53" s="9"/>
      <c r="B53" s="267"/>
      <c r="C53" s="230"/>
      <c r="D53" s="230"/>
      <c r="E53" s="63">
        <v>1</v>
      </c>
      <c r="F53" s="311">
        <f>IFERROR(IF(FIND("+",總表!$E6)&gt;0,RIGHT(總表!$E6,LEN(總表!$E6)-FIND("+",總表!$E6)),""),0)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5"/>
      <c r="L53" s="275"/>
      <c r="M53" s="275"/>
      <c r="N53" s="299"/>
      <c r="O53" s="275"/>
      <c r="P53" s="275"/>
      <c r="Q53" s="275"/>
      <c r="R53" s="302"/>
      <c r="S53" s="303"/>
      <c r="T53" s="291"/>
      <c r="U53" s="19"/>
    </row>
    <row r="54" spans="1:21" ht="14.25" customHeight="1">
      <c r="A54" s="9"/>
      <c r="B54" s="267"/>
      <c r="C54" s="230"/>
      <c r="D54" s="230"/>
      <c r="E54" s="63">
        <v>2</v>
      </c>
      <c r="F54" s="312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5"/>
      <c r="L54" s="275"/>
      <c r="M54" s="275"/>
      <c r="N54" s="299"/>
      <c r="O54" s="275"/>
      <c r="P54" s="275"/>
      <c r="Q54" s="275"/>
      <c r="R54" s="302"/>
      <c r="S54" s="303"/>
      <c r="T54" s="291"/>
      <c r="U54" s="19"/>
    </row>
    <row r="55" spans="1:21" ht="14.25" customHeight="1">
      <c r="A55" s="9"/>
      <c r="B55" s="268"/>
      <c r="C55" s="270"/>
      <c r="D55" s="270"/>
      <c r="E55" s="64">
        <v>3</v>
      </c>
      <c r="F55" s="313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6"/>
      <c r="L55" s="276"/>
      <c r="M55" s="276"/>
      <c r="N55" s="300"/>
      <c r="O55" s="276"/>
      <c r="P55" s="276"/>
      <c r="Q55" s="276"/>
      <c r="R55" s="302"/>
      <c r="S55" s="304"/>
      <c r="T55" s="293"/>
      <c r="U55" s="19"/>
    </row>
    <row r="56" spans="1:21" ht="14.25" customHeight="1">
      <c r="A56" s="9"/>
      <c r="B56" s="314">
        <f t="shared" ref="B56" si="1">DATE(YEAR(B44),MONTH(B44),DAY(B44)+1)</f>
        <v>45261</v>
      </c>
      <c r="C56" s="282" t="s">
        <v>18</v>
      </c>
      <c r="D56" s="315" t="s">
        <v>40</v>
      </c>
      <c r="E56" s="73">
        <v>1</v>
      </c>
      <c r="F56" s="329" t="str">
        <f>LEFT(總表!$D7,IF(F59=0,LEN(總表!$D7)+3,LEN(總表!$D7)-3))</f>
        <v>香菇豆薯湯</v>
      </c>
      <c r="G56" s="21" t="str">
        <f>IFERROR(IF(VLOOKUP($E56&amp;+$F$56,依據!$A:$C,3,FALSE)=0,"",VLOOKUP($E56&amp;+$F$56,依據!$A:$C,3,FALSE)),"")</f>
        <v>生香菇</v>
      </c>
      <c r="H56" s="21">
        <f>IFERROR(IF(VLOOKUP($E56&amp;+$F$56,依據!$A:$D,4,FALSE)=0,"",(VLOOKUP($E56&amp;+$F$56,依據!$A:$D,4,FALSE))),"")</f>
        <v>0.8</v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74">
        <v>0</v>
      </c>
      <c r="L56" s="277">
        <v>0.3</v>
      </c>
      <c r="M56" s="277">
        <v>0</v>
      </c>
      <c r="N56" s="298">
        <v>0.2</v>
      </c>
      <c r="O56" s="277">
        <v>1</v>
      </c>
      <c r="P56" s="277">
        <v>0</v>
      </c>
      <c r="Q56" s="277">
        <v>0</v>
      </c>
      <c r="R56" s="301">
        <f>IF($F56="不供餐","",SUM(K56*70+L56*75+M56*120+N56*25+O56*60+P56*45+Q56*4))</f>
        <v>87.5</v>
      </c>
      <c r="S56" s="303" t="s">
        <v>1150</v>
      </c>
      <c r="T56" s="291"/>
      <c r="U56" s="19"/>
    </row>
    <row r="57" spans="1:21" ht="14.25" customHeight="1">
      <c r="A57" s="9"/>
      <c r="B57" s="267"/>
      <c r="C57" s="283"/>
      <c r="D57" s="230"/>
      <c r="E57" s="63">
        <v>2</v>
      </c>
      <c r="F57" s="330"/>
      <c r="G57" s="22" t="str">
        <f>IFERROR(IF(VLOOKUP($E57&amp;+$F$56,依據!$A:$C,3,FALSE)=0,"",VLOOKUP($E57&amp;+$F$56,依據!$A:$C,3,FALSE)),"")</f>
        <v>豆薯</v>
      </c>
      <c r="H57" s="22">
        <f>IFERROR(IF(VLOOKUP($E57&amp;+$F$56,依據!$A:$D,4,FALSE)=0,"",(VLOOKUP($E57&amp;+$F$56,依據!$A:$D,4,FALSE))),"")</f>
        <v>2</v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5"/>
      <c r="L57" s="275"/>
      <c r="M57" s="275"/>
      <c r="N57" s="299"/>
      <c r="O57" s="275"/>
      <c r="P57" s="275"/>
      <c r="Q57" s="275"/>
      <c r="R57" s="302"/>
      <c r="S57" s="303"/>
      <c r="T57" s="291"/>
      <c r="U57" s="19"/>
    </row>
    <row r="58" spans="1:21" ht="14.25" customHeight="1">
      <c r="A58" s="9"/>
      <c r="B58" s="267"/>
      <c r="C58" s="283"/>
      <c r="D58" s="230"/>
      <c r="E58" s="63">
        <v>3</v>
      </c>
      <c r="F58" s="331"/>
      <c r="G58" s="24" t="str">
        <f>IFERROR(IF(VLOOKUP($E58&amp;+$F$56,依據!$A:$C,3,FALSE)=0,"",VLOOKUP($E58&amp;+$F$56,依據!$A:$C,3,FALSE)),"")</f>
        <v>肉絲</v>
      </c>
      <c r="H58" s="24">
        <f>IFERROR(IF(VLOOKUP($E58&amp;+$F$56,依據!$A:$D,4,FALSE)=0,"",(VLOOKUP($E58&amp;+$F$56,依據!$A:$D,4,FALSE))),"")</f>
        <v>0.6</v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5"/>
      <c r="L58" s="275"/>
      <c r="M58" s="275"/>
      <c r="N58" s="299"/>
      <c r="O58" s="275"/>
      <c r="P58" s="275"/>
      <c r="Q58" s="275"/>
      <c r="R58" s="302"/>
      <c r="S58" s="303"/>
      <c r="T58" s="291"/>
      <c r="U58" s="19"/>
    </row>
    <row r="59" spans="1:21" ht="14.25" customHeight="1">
      <c r="A59" s="9"/>
      <c r="B59" s="267"/>
      <c r="C59" s="283"/>
      <c r="D59" s="230"/>
      <c r="E59" s="63">
        <v>1</v>
      </c>
      <c r="F59" s="316" t="str">
        <f>IFERROR(IF(FIND("+水果",總表!$D7)&gt;0,"水果",""),0)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tr">
        <f>IFERROR(IF(VLOOKUP($E59&amp;+$F$59,依據!$A:$D,4,FALSE)=0,"",(VLOOKUP($E59&amp;+$F$59,依據!$A:$D,4,FALSE))),"")</f>
        <v>52份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5"/>
      <c r="L59" s="275"/>
      <c r="M59" s="275"/>
      <c r="N59" s="299"/>
      <c r="O59" s="275"/>
      <c r="P59" s="275"/>
      <c r="Q59" s="275"/>
      <c r="R59" s="302"/>
      <c r="S59" s="303"/>
      <c r="T59" s="291"/>
      <c r="U59" s="19"/>
    </row>
    <row r="60" spans="1:21" ht="14.25" customHeight="1">
      <c r="A60" s="9"/>
      <c r="B60" s="267"/>
      <c r="C60" s="283"/>
      <c r="D60" s="230"/>
      <c r="E60" s="63">
        <v>2</v>
      </c>
      <c r="F60" s="306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5"/>
      <c r="L60" s="275"/>
      <c r="M60" s="275"/>
      <c r="N60" s="299"/>
      <c r="O60" s="275"/>
      <c r="P60" s="275"/>
      <c r="Q60" s="275"/>
      <c r="R60" s="302"/>
      <c r="S60" s="303"/>
      <c r="T60" s="291"/>
      <c r="U60" s="19"/>
    </row>
    <row r="61" spans="1:21" ht="14.25" customHeight="1">
      <c r="A61" s="9"/>
      <c r="B61" s="267"/>
      <c r="C61" s="283"/>
      <c r="D61" s="270"/>
      <c r="E61" s="64">
        <v>3</v>
      </c>
      <c r="F61" s="307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6"/>
      <c r="L61" s="276"/>
      <c r="M61" s="276"/>
      <c r="N61" s="300"/>
      <c r="O61" s="276"/>
      <c r="P61" s="276"/>
      <c r="Q61" s="276"/>
      <c r="R61" s="302"/>
      <c r="S61" s="304"/>
      <c r="T61" s="293"/>
      <c r="U61" s="19"/>
    </row>
    <row r="62" spans="1:21" ht="14.25" customHeight="1">
      <c r="A62" s="9"/>
      <c r="B62" s="267"/>
      <c r="C62" s="283"/>
      <c r="D62" s="230" t="s">
        <v>41</v>
      </c>
      <c r="E62" s="73">
        <v>1</v>
      </c>
      <c r="F62" s="308" t="str">
        <f>IFERROR(LEFT(總表!$E7,FIND("+",總表!$E7)-1),總表!$E7)</f>
        <v>玉米排骨湯</v>
      </c>
      <c r="G62" s="21" t="str">
        <f>IFERROR(IF(VLOOKUP($E62&amp;+$F$62,依據!$A:$C,3,FALSE)=0,"",VLOOKUP($E62&amp;+$F$62,依據!$A:$C,3,FALSE)),"")</f>
        <v>小排丁</v>
      </c>
      <c r="H62" s="21">
        <f>IFERROR(IF(VLOOKUP($E62&amp;+$F$62,依據!$A:$D,4,FALSE)=0,"",(VLOOKUP($E62&amp;+$F$62,依據!$A:$D,4,FALSE))),"")</f>
        <v>2.6</v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74">
        <f>IF($F62="不供餐","",IFERROR(VLOOKUP($F62,依據!$B:L,11,FALSE),0)+IFERROR(VLOOKUP($F65,依據!$B:L,11,FALSE),0))</f>
        <v>0</v>
      </c>
      <c r="L62" s="277">
        <f>IF($F62="不供餐","",IFERROR(VLOOKUP($F62,依據!$B:M,12,FALSE),0)+IFERROR(VLOOKUP($F65,依據!$B:M,12,FALSE),0))</f>
        <v>0.89655172413793105</v>
      </c>
      <c r="M62" s="277">
        <f>IF($F62="不供餐","",IFERROR(VLOOKUP($F62,依據!$B:N,13,FALSE),0)+IFERROR(VLOOKUP($F65,依據!$B:N,13,FALSE),0))</f>
        <v>0</v>
      </c>
      <c r="N62" s="298">
        <f>IF($F62="不供餐","",IFERROR(VLOOKUP($F62,依據!$B:O,14,FALSE),0)+IFERROR(VLOOKUP($F65,依據!$B:O,14,FALSE),0))</f>
        <v>0.02</v>
      </c>
      <c r="O62" s="277">
        <f>IF($F62="不供餐","",IFERROR(VLOOKUP($F62,依據!$B:P,15,FALSE),0)+IFERROR(VLOOKUP($F65,依據!$B:P,15,FALSE),0))</f>
        <v>0</v>
      </c>
      <c r="P62" s="277">
        <f>IF($F62="不供餐","",IFERROR(VLOOKUP($F62,依據!$B:Q,16,FALSE),0)+IFERROR(VLOOKUP($F65,依據!$B:Q,16,FALSE),0))</f>
        <v>0</v>
      </c>
      <c r="Q62" s="277">
        <f>IF($F62="不供餐","",IFERROR(VLOOKUP($F62,依據!$B:R,17,FALSE),0)+IFERROR(VLOOKUP($F65,依據!$B:R,17,FALSE),0))</f>
        <v>0</v>
      </c>
      <c r="R62" s="317">
        <f>IF($F62="不供餐","",SUM(K62*70+L62*75+M62*120+N62*25+O62*60+P62*45+Q62*4))</f>
        <v>67.741379310344826</v>
      </c>
      <c r="S62" s="303" t="str">
        <f>_xlfn.IFS(COUNTIF($F62,"水果拼盤")=1,"水果3種",(COUNTIF($F62,"水果拼盤"))=0,"")</f>
        <v/>
      </c>
      <c r="T62" s="291"/>
      <c r="U62" s="19"/>
    </row>
    <row r="63" spans="1:21" ht="14.25" customHeight="1">
      <c r="A63" s="9"/>
      <c r="B63" s="267"/>
      <c r="C63" s="283"/>
      <c r="D63" s="230"/>
      <c r="E63" s="63">
        <v>2</v>
      </c>
      <c r="F63" s="309"/>
      <c r="G63" s="22" t="str">
        <f>IFERROR(IF(VLOOKUP($E63&amp;+$F$62,依據!$A:$C,3,FALSE)=0,"",VLOOKUP($E63&amp;+$F$62,依據!$A:$C,3,FALSE)),"")</f>
        <v>新鮮玉米</v>
      </c>
      <c r="H63" s="22" t="str">
        <f>IFERROR(IF(VLOOKUP($E63&amp;+$F$62,依據!$A:$D,4,FALSE)=0,"",(VLOOKUP($E63&amp;+$F$62,依據!$A:$D,4,FALSE))),"")</f>
        <v>15根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5"/>
      <c r="L63" s="275"/>
      <c r="M63" s="275"/>
      <c r="N63" s="299"/>
      <c r="O63" s="275"/>
      <c r="P63" s="275"/>
      <c r="Q63" s="275"/>
      <c r="R63" s="302"/>
      <c r="S63" s="303"/>
      <c r="T63" s="291"/>
      <c r="U63" s="19"/>
    </row>
    <row r="64" spans="1:21" ht="14.25" customHeight="1">
      <c r="A64" s="9"/>
      <c r="B64" s="267"/>
      <c r="C64" s="283"/>
      <c r="D64" s="230"/>
      <c r="E64" s="63">
        <v>3</v>
      </c>
      <c r="F64" s="310"/>
      <c r="G64" s="24" t="str">
        <f>IFERROR(IF(VLOOKUP($E64&amp;+$F$62,依據!$A:$C,3,FALSE)=0,"",VLOOKUP($E64&amp;+$F$62,依據!$A:$C,3,FALSE)),"")</f>
        <v>香菜</v>
      </c>
      <c r="H64" s="24">
        <f>IFERROR(IF(VLOOKUP($E64&amp;+$F$62,依據!$A:$D,4,FALSE)=0,"",(VLOOKUP($E64&amp;+$F$62,依據!$A:$D,4,FALSE))),"")</f>
        <v>0.1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5"/>
      <c r="L64" s="275"/>
      <c r="M64" s="275"/>
      <c r="N64" s="299"/>
      <c r="O64" s="275"/>
      <c r="P64" s="275"/>
      <c r="Q64" s="275"/>
      <c r="R64" s="302"/>
      <c r="S64" s="303"/>
      <c r="T64" s="291"/>
      <c r="U64" s="19"/>
    </row>
    <row r="65" spans="1:21" ht="14.25" customHeight="1">
      <c r="A65" s="9"/>
      <c r="B65" s="267"/>
      <c r="C65" s="283"/>
      <c r="D65" s="230"/>
      <c r="E65" s="63">
        <v>1</v>
      </c>
      <c r="F65" s="311">
        <f>IFERROR(IF(FIND("+",總表!$E7)&gt;0,RIGHT(總表!$E7,LEN(總表!$E7)-FIND("+",總表!$E7)),""),0)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5"/>
      <c r="L65" s="275"/>
      <c r="M65" s="275"/>
      <c r="N65" s="299"/>
      <c r="O65" s="275"/>
      <c r="P65" s="275"/>
      <c r="Q65" s="275"/>
      <c r="R65" s="302"/>
      <c r="S65" s="303"/>
      <c r="T65" s="291"/>
      <c r="U65" s="19"/>
    </row>
    <row r="66" spans="1:21" ht="14.25" customHeight="1">
      <c r="A66" s="9"/>
      <c r="B66" s="267"/>
      <c r="C66" s="283"/>
      <c r="D66" s="230"/>
      <c r="E66" s="63">
        <v>2</v>
      </c>
      <c r="F66" s="312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5"/>
      <c r="L66" s="275"/>
      <c r="M66" s="275"/>
      <c r="N66" s="299"/>
      <c r="O66" s="275"/>
      <c r="P66" s="275"/>
      <c r="Q66" s="275"/>
      <c r="R66" s="302"/>
      <c r="S66" s="303"/>
      <c r="T66" s="291"/>
      <c r="U66" s="19"/>
    </row>
    <row r="67" spans="1:21" ht="14.25" customHeight="1">
      <c r="A67" s="9"/>
      <c r="B67" s="268"/>
      <c r="C67" s="284"/>
      <c r="D67" s="270"/>
      <c r="E67" s="64">
        <v>3</v>
      </c>
      <c r="F67" s="313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6"/>
      <c r="L67" s="276"/>
      <c r="M67" s="276"/>
      <c r="N67" s="300"/>
      <c r="O67" s="276"/>
      <c r="P67" s="276"/>
      <c r="Q67" s="276"/>
      <c r="R67" s="318"/>
      <c r="S67" s="304"/>
      <c r="T67" s="293"/>
      <c r="U67" s="19"/>
    </row>
    <row r="68" spans="1:21" ht="14.25" hidden="1" customHeight="1">
      <c r="A68" s="9"/>
      <c r="B68" s="314">
        <f>DATE(YEAR(B56),MONTH(B56),DAY(B56)+1)</f>
        <v>45262</v>
      </c>
      <c r="C68" s="282" t="s">
        <v>103</v>
      </c>
      <c r="D68" s="315" t="s">
        <v>40</v>
      </c>
      <c r="E68" s="73">
        <v>1</v>
      </c>
      <c r="F68" s="271" t="str">
        <f>LEFT(總表!$D8,IF(F71=0,LEN(總表!$D8)+3,LEN(總表!$D8)-3))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74">
        <f>IF($F68="不供餐","",IFERROR(VLOOKUP($F68,依據!$B:L,11,FALSE),0)+IFERROR(VLOOKUP($F71,依據!$B:L,11,FALSE),0))</f>
        <v>0</v>
      </c>
      <c r="L68" s="277">
        <f>IF($F68="不供餐","",IFERROR(VLOOKUP($F68,依據!$B:M,12,FALSE),0)+IFERROR(VLOOKUP($F71,依據!$B:M,12,FALSE),0))</f>
        <v>0</v>
      </c>
      <c r="M68" s="277">
        <f>IF($F68="不供餐","",IFERROR(VLOOKUP($F68,依據!$B:N,13,FALSE),0)+IFERROR(VLOOKUP($F71,依據!$B:N,13,FALSE),0))</f>
        <v>0</v>
      </c>
      <c r="N68" s="298">
        <f>IF($F68="不供餐","",IFERROR(VLOOKUP($F68,依據!$B:O,14,FALSE),0)+IFERROR(VLOOKUP($F71,依據!$B:O,14,FALSE),0))</f>
        <v>0</v>
      </c>
      <c r="O68" s="277">
        <f>IF($F68="不供餐","",IFERROR(VLOOKUP($F68,依據!$B:P,15,FALSE),0)+IFERROR(VLOOKUP($F71,依據!$B:P,15,FALSE),0))</f>
        <v>0</v>
      </c>
      <c r="P68" s="277">
        <f>IF($F68="不供餐","",IFERROR(VLOOKUP($F68,依據!$B:Q,16,FALSE),0)+IFERROR(VLOOKUP($F71,依據!$B:Q,16,FALSE),0))</f>
        <v>0</v>
      </c>
      <c r="Q68" s="277">
        <f>IF($F68="不供餐","",IFERROR(VLOOKUP($F68,依據!$B:R,17,FALSE),0)+IFERROR(VLOOKUP($F71,依據!$B:R,17,FALSE),0))</f>
        <v>0</v>
      </c>
      <c r="R68" s="301">
        <f>IF($F68="不供餐","",SUM(K68*70+L68*75+M68*120+N68*25+O68*60+P68*45+Q68*4))</f>
        <v>0</v>
      </c>
      <c r="S68" s="303" t="str">
        <f>_xlfn.IFS(COUNTIF($F71,"水果")=1,"水果1種",(COUNTIF($F71,"水果"))=0,"")</f>
        <v/>
      </c>
      <c r="T68" s="291"/>
      <c r="U68" s="19"/>
    </row>
    <row r="69" spans="1:21" ht="14.25" hidden="1" customHeight="1">
      <c r="A69" s="9"/>
      <c r="B69" s="267"/>
      <c r="C69" s="283"/>
      <c r="D69" s="230"/>
      <c r="E69" s="63">
        <v>2</v>
      </c>
      <c r="F69" s="272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5"/>
      <c r="L69" s="275"/>
      <c r="M69" s="275"/>
      <c r="N69" s="299"/>
      <c r="O69" s="275"/>
      <c r="P69" s="275"/>
      <c r="Q69" s="275"/>
      <c r="R69" s="302"/>
      <c r="S69" s="303"/>
      <c r="T69" s="291"/>
      <c r="U69" s="19"/>
    </row>
    <row r="70" spans="1:21" ht="14.25" hidden="1" customHeight="1">
      <c r="A70" s="9"/>
      <c r="B70" s="267"/>
      <c r="C70" s="283"/>
      <c r="D70" s="230"/>
      <c r="E70" s="63">
        <v>3</v>
      </c>
      <c r="F70" s="273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5"/>
      <c r="L70" s="275"/>
      <c r="M70" s="275"/>
      <c r="N70" s="299"/>
      <c r="O70" s="275"/>
      <c r="P70" s="275"/>
      <c r="Q70" s="275"/>
      <c r="R70" s="302"/>
      <c r="S70" s="303"/>
      <c r="T70" s="291"/>
      <c r="U70" s="19"/>
    </row>
    <row r="71" spans="1:21" ht="14.25" hidden="1" customHeight="1">
      <c r="A71" s="9"/>
      <c r="B71" s="267"/>
      <c r="C71" s="283"/>
      <c r="D71" s="230"/>
      <c r="E71" s="63">
        <v>1</v>
      </c>
      <c r="F71" s="316">
        <f>IFERROR(IF(FIND("+水果",總表!$D8)&gt;0,"水果",""),0)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5"/>
      <c r="L71" s="275"/>
      <c r="M71" s="275"/>
      <c r="N71" s="299"/>
      <c r="O71" s="275"/>
      <c r="P71" s="275"/>
      <c r="Q71" s="275"/>
      <c r="R71" s="302"/>
      <c r="S71" s="303"/>
      <c r="T71" s="291"/>
      <c r="U71" s="19"/>
    </row>
    <row r="72" spans="1:21" ht="14.25" hidden="1" customHeight="1">
      <c r="A72" s="9"/>
      <c r="B72" s="267"/>
      <c r="C72" s="283"/>
      <c r="D72" s="230"/>
      <c r="E72" s="63">
        <v>2</v>
      </c>
      <c r="F72" s="306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5"/>
      <c r="L72" s="275"/>
      <c r="M72" s="275"/>
      <c r="N72" s="299"/>
      <c r="O72" s="275"/>
      <c r="P72" s="275"/>
      <c r="Q72" s="275"/>
      <c r="R72" s="302"/>
      <c r="S72" s="303"/>
      <c r="T72" s="291"/>
      <c r="U72" s="19"/>
    </row>
    <row r="73" spans="1:21" ht="14.25" hidden="1" customHeight="1">
      <c r="A73" s="9"/>
      <c r="B73" s="267"/>
      <c r="C73" s="283"/>
      <c r="D73" s="270"/>
      <c r="E73" s="64">
        <v>3</v>
      </c>
      <c r="F73" s="307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6"/>
      <c r="L73" s="276"/>
      <c r="M73" s="276"/>
      <c r="N73" s="300"/>
      <c r="O73" s="276"/>
      <c r="P73" s="276"/>
      <c r="Q73" s="276"/>
      <c r="R73" s="302"/>
      <c r="S73" s="304"/>
      <c r="T73" s="293"/>
      <c r="U73" s="19"/>
    </row>
    <row r="74" spans="1:21" ht="14.25" hidden="1" customHeight="1">
      <c r="A74" s="9"/>
      <c r="B74" s="267"/>
      <c r="C74" s="283"/>
      <c r="D74" s="230" t="s">
        <v>41</v>
      </c>
      <c r="E74" s="73">
        <v>1</v>
      </c>
      <c r="F74" s="308">
        <f>IFERROR(LEFT(總表!$E8,FIND("+",總表!$E8)-1),總表!$E8)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74">
        <f>IF($F74="不供餐","",IFERROR(VLOOKUP($F74,依據!$B:L,11,FALSE),0)+IFERROR(VLOOKUP($F77,依據!$B:L,11,FALSE),0))</f>
        <v>0</v>
      </c>
      <c r="L74" s="277">
        <f>IF($F74="不供餐","",IFERROR(VLOOKUP($F74,依據!$B:M,12,FALSE),0)+IFERROR(VLOOKUP($F77,依據!$B:M,12,FALSE),0))</f>
        <v>0</v>
      </c>
      <c r="M74" s="277">
        <f>IF($F74="不供餐","",IFERROR(VLOOKUP($F74,依據!$B:N,13,FALSE),0)+IFERROR(VLOOKUP($F77,依據!$B:N,13,FALSE),0))</f>
        <v>0</v>
      </c>
      <c r="N74" s="298">
        <f>IF($F74="不供餐","",IFERROR(VLOOKUP($F74,依據!$B:O,14,FALSE),0)+IFERROR(VLOOKUP($F77,依據!$B:O,14,FALSE),0))</f>
        <v>0</v>
      </c>
      <c r="O74" s="277">
        <f>IF($F74="不供餐","",IFERROR(VLOOKUP($F74,依據!$B:P,15,FALSE),0)+IFERROR(VLOOKUP($F77,依據!$B:P,15,FALSE),0))</f>
        <v>0</v>
      </c>
      <c r="P74" s="277">
        <f>IF($F74="不供餐","",IFERROR(VLOOKUP($F74,依據!$B:Q,16,FALSE),0)+IFERROR(VLOOKUP($F77,依據!$B:Q,16,FALSE),0))</f>
        <v>0</v>
      </c>
      <c r="Q74" s="277">
        <f>IF($F74="不供餐","",IFERROR(VLOOKUP($F74,依據!$B:R,17,FALSE),0)+IFERROR(VLOOKUP($F77,依據!$B:R,17,FALSE),0))</f>
        <v>0</v>
      </c>
      <c r="R74" s="301">
        <f>IF($F74="不供餐","",SUM(K74*70+L74*75+M74*120+N74*25+O74*60+P74*45+Q74*4))</f>
        <v>0</v>
      </c>
      <c r="S74" s="303" t="str">
        <f>_xlfn.IFS(COUNTIF($F74,"水果拼盤")=1,"水果3種",(COUNTIF($F74,"水果拼盤"))=0,"")</f>
        <v/>
      </c>
      <c r="T74" s="291"/>
      <c r="U74" s="19"/>
    </row>
    <row r="75" spans="1:21" ht="14.25" hidden="1" customHeight="1">
      <c r="A75" s="9"/>
      <c r="B75" s="267"/>
      <c r="C75" s="283"/>
      <c r="D75" s="230"/>
      <c r="E75" s="63">
        <v>2</v>
      </c>
      <c r="F75" s="309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5"/>
      <c r="L75" s="275"/>
      <c r="M75" s="275"/>
      <c r="N75" s="299"/>
      <c r="O75" s="275"/>
      <c r="P75" s="275"/>
      <c r="Q75" s="275"/>
      <c r="R75" s="302"/>
      <c r="S75" s="303"/>
      <c r="T75" s="291"/>
      <c r="U75" s="19"/>
    </row>
    <row r="76" spans="1:21" ht="14.25" hidden="1" customHeight="1">
      <c r="A76" s="9"/>
      <c r="B76" s="267"/>
      <c r="C76" s="283"/>
      <c r="D76" s="230"/>
      <c r="E76" s="63">
        <v>3</v>
      </c>
      <c r="F76" s="310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5"/>
      <c r="L76" s="275"/>
      <c r="M76" s="275"/>
      <c r="N76" s="299"/>
      <c r="O76" s="275"/>
      <c r="P76" s="275"/>
      <c r="Q76" s="275"/>
      <c r="R76" s="302"/>
      <c r="S76" s="303"/>
      <c r="T76" s="291"/>
      <c r="U76" s="19"/>
    </row>
    <row r="77" spans="1:21" ht="14.25" hidden="1" customHeight="1">
      <c r="A77" s="9"/>
      <c r="B77" s="267"/>
      <c r="C77" s="283"/>
      <c r="D77" s="230"/>
      <c r="E77" s="63">
        <v>1</v>
      </c>
      <c r="F77" s="311">
        <f>IFERROR(IF(FIND("+",總表!$E8)&gt;0,RIGHT(總表!$E8,LEN(總表!$E8)-FIND("+",總表!$E8)),""),0)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5"/>
      <c r="L77" s="275"/>
      <c r="M77" s="275"/>
      <c r="N77" s="299"/>
      <c r="O77" s="275"/>
      <c r="P77" s="275"/>
      <c r="Q77" s="275"/>
      <c r="R77" s="302"/>
      <c r="S77" s="303"/>
      <c r="T77" s="291"/>
      <c r="U77" s="19"/>
    </row>
    <row r="78" spans="1:21" ht="14.25" hidden="1" customHeight="1">
      <c r="A78" s="9"/>
      <c r="B78" s="267"/>
      <c r="C78" s="283"/>
      <c r="D78" s="230"/>
      <c r="E78" s="63">
        <v>2</v>
      </c>
      <c r="F78" s="312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5"/>
      <c r="L78" s="275"/>
      <c r="M78" s="275"/>
      <c r="N78" s="299"/>
      <c r="O78" s="275"/>
      <c r="P78" s="275"/>
      <c r="Q78" s="275"/>
      <c r="R78" s="302"/>
      <c r="S78" s="303"/>
      <c r="T78" s="291"/>
      <c r="U78" s="19"/>
    </row>
    <row r="79" spans="1:21" ht="14.25" hidden="1" customHeight="1">
      <c r="A79" s="9"/>
      <c r="B79" s="268"/>
      <c r="C79" s="284"/>
      <c r="D79" s="270"/>
      <c r="E79" s="64">
        <v>3</v>
      </c>
      <c r="F79" s="313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6"/>
      <c r="L79" s="276"/>
      <c r="M79" s="276"/>
      <c r="N79" s="300"/>
      <c r="O79" s="276"/>
      <c r="P79" s="276"/>
      <c r="Q79" s="276"/>
      <c r="R79" s="302"/>
      <c r="S79" s="304"/>
      <c r="T79" s="293"/>
      <c r="U79" s="19"/>
    </row>
    <row r="80" spans="1:21" ht="14.25" customHeight="1">
      <c r="A80" s="9"/>
      <c r="B80" s="320" t="s">
        <v>42</v>
      </c>
      <c r="C80" s="321"/>
      <c r="D80" s="321"/>
      <c r="E80" s="322"/>
      <c r="F80" s="323"/>
      <c r="G80" s="320" t="s">
        <v>43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3"/>
      <c r="U80" s="19"/>
    </row>
    <row r="81" spans="1:34" ht="14.25" customHeight="1">
      <c r="A81" s="9"/>
      <c r="B81" s="324"/>
      <c r="C81" s="325"/>
      <c r="D81" s="325"/>
      <c r="E81" s="325"/>
      <c r="F81" s="326"/>
      <c r="G81" s="324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19"/>
    </row>
    <row r="82" spans="1:34" ht="14.25" customHeight="1">
      <c r="A82" s="9"/>
      <c r="B82" s="324"/>
      <c r="C82" s="325"/>
      <c r="D82" s="325"/>
      <c r="E82" s="325"/>
      <c r="F82" s="326"/>
      <c r="G82" s="324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  <c r="U82" s="19"/>
    </row>
    <row r="83" spans="1:34" ht="14.25" customHeight="1">
      <c r="A83" s="9"/>
      <c r="B83" s="327"/>
      <c r="C83" s="280"/>
      <c r="D83" s="280"/>
      <c r="E83" s="280"/>
      <c r="F83" s="328"/>
      <c r="G83" s="327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328"/>
      <c r="U83" s="19"/>
    </row>
    <row r="84" spans="1:34" ht="21" customHeight="1">
      <c r="A84" s="9"/>
      <c r="B84" s="319" t="s">
        <v>14</v>
      </c>
      <c r="C84" s="319"/>
      <c r="D84" s="319"/>
      <c r="E84" s="319"/>
      <c r="F84" s="319"/>
      <c r="G84" s="319"/>
      <c r="H84" s="319"/>
      <c r="I84" s="319" t="s">
        <v>44</v>
      </c>
      <c r="J84" s="319"/>
      <c r="K84" s="319"/>
      <c r="L84" s="319"/>
      <c r="M84" s="319"/>
      <c r="N84" s="319"/>
      <c r="O84" s="319" t="s">
        <v>1269</v>
      </c>
      <c r="P84" s="319"/>
      <c r="Q84" s="319"/>
      <c r="R84" s="319"/>
      <c r="S84" s="319"/>
      <c r="T84" s="319"/>
      <c r="U84" s="19"/>
      <c r="AA84" s="9"/>
      <c r="AB84" s="9"/>
      <c r="AC84" s="9"/>
      <c r="AD84" s="9"/>
      <c r="AE84" s="9"/>
      <c r="AF84" s="9"/>
      <c r="AG84" s="9"/>
      <c r="AH84" s="9"/>
    </row>
    <row r="85" spans="1:34">
      <c r="B85" s="17"/>
    </row>
  </sheetData>
  <sheetProtection formatCells="0" selectLockedCells="1" selectUnlockedCells="1"/>
  <mergeCells count="184">
    <mergeCell ref="D74:D79"/>
    <mergeCell ref="B68:B79"/>
    <mergeCell ref="K68:K73"/>
    <mergeCell ref="L68:L73"/>
    <mergeCell ref="M68:M73"/>
    <mergeCell ref="N68:N73"/>
    <mergeCell ref="F74:F76"/>
    <mergeCell ref="R74:R79"/>
    <mergeCell ref="C68:C79"/>
    <mergeCell ref="D68:D73"/>
    <mergeCell ref="S74:T79"/>
    <mergeCell ref="F77:F79"/>
    <mergeCell ref="O68:O73"/>
    <mergeCell ref="P68:P73"/>
    <mergeCell ref="Q68:Q73"/>
    <mergeCell ref="K74:K79"/>
    <mergeCell ref="L74:L79"/>
    <mergeCell ref="M74:M79"/>
    <mergeCell ref="N74:N79"/>
    <mergeCell ref="O74:O79"/>
    <mergeCell ref="P74:P79"/>
    <mergeCell ref="Q74:Q79"/>
    <mergeCell ref="F68:F70"/>
    <mergeCell ref="R68:R73"/>
    <mergeCell ref="S68:T73"/>
    <mergeCell ref="F71:F73"/>
    <mergeCell ref="L32:L37"/>
    <mergeCell ref="Q44:Q49"/>
    <mergeCell ref="F50:F52"/>
    <mergeCell ref="F53:F55"/>
    <mergeCell ref="K50:K55"/>
    <mergeCell ref="L50:L55"/>
    <mergeCell ref="Q38:Q43"/>
    <mergeCell ref="R38:R43"/>
    <mergeCell ref="R50:R55"/>
    <mergeCell ref="B84:H84"/>
    <mergeCell ref="I84:N84"/>
    <mergeCell ref="O84:T84"/>
    <mergeCell ref="S62:T67"/>
    <mergeCell ref="B80:F83"/>
    <mergeCell ref="G80:T83"/>
    <mergeCell ref="F62:F64"/>
    <mergeCell ref="K62:K67"/>
    <mergeCell ref="L62:L67"/>
    <mergeCell ref="M62:M67"/>
    <mergeCell ref="N62:N67"/>
    <mergeCell ref="O62:O67"/>
    <mergeCell ref="P62:P67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M56:M61"/>
    <mergeCell ref="N56:N61"/>
    <mergeCell ref="O56:O61"/>
    <mergeCell ref="P56:P61"/>
    <mergeCell ref="Q56:Q61"/>
    <mergeCell ref="R56:R61"/>
    <mergeCell ref="Q62:Q67"/>
    <mergeCell ref="R62:R67"/>
    <mergeCell ref="F65:F67"/>
    <mergeCell ref="S38:T43"/>
    <mergeCell ref="F41:F43"/>
    <mergeCell ref="R44:R49"/>
    <mergeCell ref="B32:B43"/>
    <mergeCell ref="C32:C43"/>
    <mergeCell ref="D32:D37"/>
    <mergeCell ref="S50:T55"/>
    <mergeCell ref="M50:M55"/>
    <mergeCell ref="N50:N55"/>
    <mergeCell ref="O50:O55"/>
    <mergeCell ref="P50:P55"/>
    <mergeCell ref="Q50:Q55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M44:M49"/>
    <mergeCell ref="N44:N49"/>
    <mergeCell ref="O44:O49"/>
    <mergeCell ref="P44:P49"/>
    <mergeCell ref="F32:F34"/>
    <mergeCell ref="K32:K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M20:M25"/>
    <mergeCell ref="N20:N25"/>
    <mergeCell ref="S26:T31"/>
    <mergeCell ref="O20:O25"/>
    <mergeCell ref="P20:P25"/>
    <mergeCell ref="Q20:Q25"/>
    <mergeCell ref="R20:R25"/>
    <mergeCell ref="D20:D25"/>
    <mergeCell ref="F20:F22"/>
    <mergeCell ref="K20:K25"/>
    <mergeCell ref="L20:L25"/>
    <mergeCell ref="F26:F28"/>
    <mergeCell ref="K26:K31"/>
    <mergeCell ref="L26:L31"/>
    <mergeCell ref="F29:F31"/>
    <mergeCell ref="M26:M31"/>
    <mergeCell ref="N26:N31"/>
    <mergeCell ref="O26:O31"/>
    <mergeCell ref="P26:P31"/>
    <mergeCell ref="Q26:Q31"/>
    <mergeCell ref="R26:R31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B8:B19"/>
    <mergeCell ref="C8:C19"/>
    <mergeCell ref="D8:D13"/>
    <mergeCell ref="F8:F10"/>
    <mergeCell ref="K8:K13"/>
    <mergeCell ref="L8:L13"/>
    <mergeCell ref="M8:M13"/>
    <mergeCell ref="G4:G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H4:H7"/>
    <mergeCell ref="I4:I7"/>
    <mergeCell ref="J4:J7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69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5"/>
  <sheetViews>
    <sheetView zoomScaleNormal="100" workbookViewId="0">
      <pane xSplit="4" ySplit="7" topLeftCell="E59" activePane="bottomRight" state="frozen"/>
      <selection pane="topRight" activeCell="E1" sqref="E1"/>
      <selection pane="bottomLeft" activeCell="A8" sqref="A8"/>
      <selection pane="bottomRight" activeCell="O84" sqref="O84:T84"/>
    </sheetView>
  </sheetViews>
  <sheetFormatPr defaultColWidth="9" defaultRowHeight="15.75"/>
  <cols>
    <col min="1" max="1" width="14.875" style="2" customWidth="1"/>
    <col min="2" max="4" width="3.625" style="2" customWidth="1"/>
    <col min="5" max="5" width="3.625" style="13" hidden="1" customWidth="1"/>
    <col min="6" max="6" width="16.625" style="2" customWidth="1"/>
    <col min="7" max="7" width="12.625" style="2" customWidth="1"/>
    <col min="8" max="8" width="7.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style="2" customWidth="1"/>
    <col min="23" max="23" width="9" style="2"/>
    <col min="24" max="24" width="4.5" style="2" bestFit="1" customWidth="1"/>
    <col min="25" max="26" width="5.625" style="2" customWidth="1"/>
    <col min="27" max="27" width="9" style="2" customWidth="1"/>
    <col min="28" max="28" width="5.625" style="2" customWidth="1"/>
    <col min="29" max="29" width="9" style="2" customWidth="1"/>
    <col min="30" max="31" width="5.625" style="2" customWidth="1"/>
    <col min="32" max="32" width="9" style="2" customWidth="1"/>
    <col min="33" max="33" width="5.625" style="2" customWidth="1"/>
    <col min="34" max="34" width="9" style="2" customWidth="1"/>
    <col min="35" max="35" width="11.625" style="2" bestFit="1" customWidth="1"/>
    <col min="36" max="253" width="9" style="2"/>
    <col min="254" max="254" width="14.875" style="2" customWidth="1"/>
    <col min="255" max="257" width="3.625" style="2" customWidth="1"/>
    <col min="258" max="259" width="12.625" style="2" customWidth="1"/>
    <col min="260" max="260" width="7.5" style="2" customWidth="1"/>
    <col min="261" max="261" width="12.625" style="2" customWidth="1"/>
    <col min="262" max="262" width="6" style="2" customWidth="1"/>
    <col min="263" max="272" width="3.875" style="2" customWidth="1"/>
    <col min="273" max="273" width="2.5" style="2" customWidth="1"/>
    <col min="274" max="274" width="12.375" style="2" customWidth="1"/>
    <col min="275" max="275" width="9.125" style="2" bestFit="1" customWidth="1"/>
    <col min="276" max="277" width="9" style="2"/>
    <col min="278" max="278" width="4.5" style="2" bestFit="1" customWidth="1"/>
    <col min="279" max="279" width="9" style="2"/>
    <col min="280" max="280" width="4.5" style="2" bestFit="1" customWidth="1"/>
    <col min="281" max="282" width="5.625" style="2" customWidth="1"/>
    <col min="283" max="283" width="9" style="2"/>
    <col min="284" max="284" width="5.625" style="2" customWidth="1"/>
    <col min="285" max="285" width="9" style="2"/>
    <col min="286" max="287" width="5.625" style="2" customWidth="1"/>
    <col min="288" max="288" width="9" style="2"/>
    <col min="289" max="289" width="5.625" style="2" customWidth="1"/>
    <col min="290" max="290" width="9" style="2"/>
    <col min="291" max="291" width="11.625" style="2" bestFit="1" customWidth="1"/>
    <col min="292" max="509" width="9" style="2"/>
    <col min="510" max="510" width="14.875" style="2" customWidth="1"/>
    <col min="511" max="513" width="3.625" style="2" customWidth="1"/>
    <col min="514" max="515" width="12.625" style="2" customWidth="1"/>
    <col min="516" max="516" width="7.5" style="2" customWidth="1"/>
    <col min="517" max="517" width="12.625" style="2" customWidth="1"/>
    <col min="518" max="518" width="6" style="2" customWidth="1"/>
    <col min="519" max="528" width="3.875" style="2" customWidth="1"/>
    <col min="529" max="529" width="2.5" style="2" customWidth="1"/>
    <col min="530" max="530" width="12.375" style="2" customWidth="1"/>
    <col min="531" max="531" width="9.125" style="2" bestFit="1" customWidth="1"/>
    <col min="532" max="533" width="9" style="2"/>
    <col min="534" max="534" width="4.5" style="2" bestFit="1" customWidth="1"/>
    <col min="535" max="535" width="9" style="2"/>
    <col min="536" max="536" width="4.5" style="2" bestFit="1" customWidth="1"/>
    <col min="537" max="538" width="5.625" style="2" customWidth="1"/>
    <col min="539" max="539" width="9" style="2"/>
    <col min="540" max="540" width="5.625" style="2" customWidth="1"/>
    <col min="541" max="541" width="9" style="2"/>
    <col min="542" max="543" width="5.625" style="2" customWidth="1"/>
    <col min="544" max="544" width="9" style="2"/>
    <col min="545" max="545" width="5.625" style="2" customWidth="1"/>
    <col min="546" max="546" width="9" style="2"/>
    <col min="547" max="547" width="11.625" style="2" bestFit="1" customWidth="1"/>
    <col min="548" max="765" width="9" style="2"/>
    <col min="766" max="766" width="14.875" style="2" customWidth="1"/>
    <col min="767" max="769" width="3.625" style="2" customWidth="1"/>
    <col min="770" max="771" width="12.625" style="2" customWidth="1"/>
    <col min="772" max="772" width="7.5" style="2" customWidth="1"/>
    <col min="773" max="773" width="12.625" style="2" customWidth="1"/>
    <col min="774" max="774" width="6" style="2" customWidth="1"/>
    <col min="775" max="784" width="3.875" style="2" customWidth="1"/>
    <col min="785" max="785" width="2.5" style="2" customWidth="1"/>
    <col min="786" max="786" width="12.375" style="2" customWidth="1"/>
    <col min="787" max="787" width="9.125" style="2" bestFit="1" customWidth="1"/>
    <col min="788" max="789" width="9" style="2"/>
    <col min="790" max="790" width="4.5" style="2" bestFit="1" customWidth="1"/>
    <col min="791" max="791" width="9" style="2"/>
    <col min="792" max="792" width="4.5" style="2" bestFit="1" customWidth="1"/>
    <col min="793" max="794" width="5.625" style="2" customWidth="1"/>
    <col min="795" max="795" width="9" style="2"/>
    <col min="796" max="796" width="5.625" style="2" customWidth="1"/>
    <col min="797" max="797" width="9" style="2"/>
    <col min="798" max="799" width="5.625" style="2" customWidth="1"/>
    <col min="800" max="800" width="9" style="2"/>
    <col min="801" max="801" width="5.625" style="2" customWidth="1"/>
    <col min="802" max="802" width="9" style="2"/>
    <col min="803" max="803" width="11.625" style="2" bestFit="1" customWidth="1"/>
    <col min="804" max="1021" width="9" style="2"/>
    <col min="1022" max="1022" width="14.875" style="2" customWidth="1"/>
    <col min="1023" max="1025" width="3.625" style="2" customWidth="1"/>
    <col min="1026" max="1027" width="12.625" style="2" customWidth="1"/>
    <col min="1028" max="1028" width="7.5" style="2" customWidth="1"/>
    <col min="1029" max="1029" width="12.625" style="2" customWidth="1"/>
    <col min="1030" max="1030" width="6" style="2" customWidth="1"/>
    <col min="1031" max="1040" width="3.875" style="2" customWidth="1"/>
    <col min="1041" max="1041" width="2.5" style="2" customWidth="1"/>
    <col min="1042" max="1042" width="12.375" style="2" customWidth="1"/>
    <col min="1043" max="1043" width="9.125" style="2" bestFit="1" customWidth="1"/>
    <col min="1044" max="1045" width="9" style="2"/>
    <col min="1046" max="1046" width="4.5" style="2" bestFit="1" customWidth="1"/>
    <col min="1047" max="1047" width="9" style="2"/>
    <col min="1048" max="1048" width="4.5" style="2" bestFit="1" customWidth="1"/>
    <col min="1049" max="1050" width="5.625" style="2" customWidth="1"/>
    <col min="1051" max="1051" width="9" style="2"/>
    <col min="1052" max="1052" width="5.625" style="2" customWidth="1"/>
    <col min="1053" max="1053" width="9" style="2"/>
    <col min="1054" max="1055" width="5.625" style="2" customWidth="1"/>
    <col min="1056" max="1056" width="9" style="2"/>
    <col min="1057" max="1057" width="5.625" style="2" customWidth="1"/>
    <col min="1058" max="1058" width="9" style="2"/>
    <col min="1059" max="1059" width="11.625" style="2" bestFit="1" customWidth="1"/>
    <col min="1060" max="1277" width="9" style="2"/>
    <col min="1278" max="1278" width="14.875" style="2" customWidth="1"/>
    <col min="1279" max="1281" width="3.625" style="2" customWidth="1"/>
    <col min="1282" max="1283" width="12.625" style="2" customWidth="1"/>
    <col min="1284" max="1284" width="7.5" style="2" customWidth="1"/>
    <col min="1285" max="1285" width="12.625" style="2" customWidth="1"/>
    <col min="1286" max="1286" width="6" style="2" customWidth="1"/>
    <col min="1287" max="1296" width="3.875" style="2" customWidth="1"/>
    <col min="1297" max="1297" width="2.5" style="2" customWidth="1"/>
    <col min="1298" max="1298" width="12.375" style="2" customWidth="1"/>
    <col min="1299" max="1299" width="9.125" style="2" bestFit="1" customWidth="1"/>
    <col min="1300" max="1301" width="9" style="2"/>
    <col min="1302" max="1302" width="4.5" style="2" bestFit="1" customWidth="1"/>
    <col min="1303" max="1303" width="9" style="2"/>
    <col min="1304" max="1304" width="4.5" style="2" bestFit="1" customWidth="1"/>
    <col min="1305" max="1306" width="5.625" style="2" customWidth="1"/>
    <col min="1307" max="1307" width="9" style="2"/>
    <col min="1308" max="1308" width="5.625" style="2" customWidth="1"/>
    <col min="1309" max="1309" width="9" style="2"/>
    <col min="1310" max="1311" width="5.625" style="2" customWidth="1"/>
    <col min="1312" max="1312" width="9" style="2"/>
    <col min="1313" max="1313" width="5.625" style="2" customWidth="1"/>
    <col min="1314" max="1314" width="9" style="2"/>
    <col min="1315" max="1315" width="11.625" style="2" bestFit="1" customWidth="1"/>
    <col min="1316" max="1533" width="9" style="2"/>
    <col min="1534" max="1534" width="14.875" style="2" customWidth="1"/>
    <col min="1535" max="1537" width="3.625" style="2" customWidth="1"/>
    <col min="1538" max="1539" width="12.625" style="2" customWidth="1"/>
    <col min="1540" max="1540" width="7.5" style="2" customWidth="1"/>
    <col min="1541" max="1541" width="12.625" style="2" customWidth="1"/>
    <col min="1542" max="1542" width="6" style="2" customWidth="1"/>
    <col min="1543" max="1552" width="3.875" style="2" customWidth="1"/>
    <col min="1553" max="1553" width="2.5" style="2" customWidth="1"/>
    <col min="1554" max="1554" width="12.375" style="2" customWidth="1"/>
    <col min="1555" max="1555" width="9.125" style="2" bestFit="1" customWidth="1"/>
    <col min="1556" max="1557" width="9" style="2"/>
    <col min="1558" max="1558" width="4.5" style="2" bestFit="1" customWidth="1"/>
    <col min="1559" max="1559" width="9" style="2"/>
    <col min="1560" max="1560" width="4.5" style="2" bestFit="1" customWidth="1"/>
    <col min="1561" max="1562" width="5.625" style="2" customWidth="1"/>
    <col min="1563" max="1563" width="9" style="2"/>
    <col min="1564" max="1564" width="5.625" style="2" customWidth="1"/>
    <col min="1565" max="1565" width="9" style="2"/>
    <col min="1566" max="1567" width="5.625" style="2" customWidth="1"/>
    <col min="1568" max="1568" width="9" style="2"/>
    <col min="1569" max="1569" width="5.625" style="2" customWidth="1"/>
    <col min="1570" max="1570" width="9" style="2"/>
    <col min="1571" max="1571" width="11.625" style="2" bestFit="1" customWidth="1"/>
    <col min="1572" max="1789" width="9" style="2"/>
    <col min="1790" max="1790" width="14.875" style="2" customWidth="1"/>
    <col min="1791" max="1793" width="3.625" style="2" customWidth="1"/>
    <col min="1794" max="1795" width="12.625" style="2" customWidth="1"/>
    <col min="1796" max="1796" width="7.5" style="2" customWidth="1"/>
    <col min="1797" max="1797" width="12.625" style="2" customWidth="1"/>
    <col min="1798" max="1798" width="6" style="2" customWidth="1"/>
    <col min="1799" max="1808" width="3.875" style="2" customWidth="1"/>
    <col min="1809" max="1809" width="2.5" style="2" customWidth="1"/>
    <col min="1810" max="1810" width="12.375" style="2" customWidth="1"/>
    <col min="1811" max="1811" width="9.125" style="2" bestFit="1" customWidth="1"/>
    <col min="1812" max="1813" width="9" style="2"/>
    <col min="1814" max="1814" width="4.5" style="2" bestFit="1" customWidth="1"/>
    <col min="1815" max="1815" width="9" style="2"/>
    <col min="1816" max="1816" width="4.5" style="2" bestFit="1" customWidth="1"/>
    <col min="1817" max="1818" width="5.625" style="2" customWidth="1"/>
    <col min="1819" max="1819" width="9" style="2"/>
    <col min="1820" max="1820" width="5.625" style="2" customWidth="1"/>
    <col min="1821" max="1821" width="9" style="2"/>
    <col min="1822" max="1823" width="5.625" style="2" customWidth="1"/>
    <col min="1824" max="1824" width="9" style="2"/>
    <col min="1825" max="1825" width="5.625" style="2" customWidth="1"/>
    <col min="1826" max="1826" width="9" style="2"/>
    <col min="1827" max="1827" width="11.625" style="2" bestFit="1" customWidth="1"/>
    <col min="1828" max="2045" width="9" style="2"/>
    <col min="2046" max="2046" width="14.875" style="2" customWidth="1"/>
    <col min="2047" max="2049" width="3.625" style="2" customWidth="1"/>
    <col min="2050" max="2051" width="12.625" style="2" customWidth="1"/>
    <col min="2052" max="2052" width="7.5" style="2" customWidth="1"/>
    <col min="2053" max="2053" width="12.625" style="2" customWidth="1"/>
    <col min="2054" max="2054" width="6" style="2" customWidth="1"/>
    <col min="2055" max="2064" width="3.875" style="2" customWidth="1"/>
    <col min="2065" max="2065" width="2.5" style="2" customWidth="1"/>
    <col min="2066" max="2066" width="12.375" style="2" customWidth="1"/>
    <col min="2067" max="2067" width="9.125" style="2" bestFit="1" customWidth="1"/>
    <col min="2068" max="2069" width="9" style="2"/>
    <col min="2070" max="2070" width="4.5" style="2" bestFit="1" customWidth="1"/>
    <col min="2071" max="2071" width="9" style="2"/>
    <col min="2072" max="2072" width="4.5" style="2" bestFit="1" customWidth="1"/>
    <col min="2073" max="2074" width="5.625" style="2" customWidth="1"/>
    <col min="2075" max="2075" width="9" style="2"/>
    <col min="2076" max="2076" width="5.625" style="2" customWidth="1"/>
    <col min="2077" max="2077" width="9" style="2"/>
    <col min="2078" max="2079" width="5.625" style="2" customWidth="1"/>
    <col min="2080" max="2080" width="9" style="2"/>
    <col min="2081" max="2081" width="5.625" style="2" customWidth="1"/>
    <col min="2082" max="2082" width="9" style="2"/>
    <col min="2083" max="2083" width="11.625" style="2" bestFit="1" customWidth="1"/>
    <col min="2084" max="2301" width="9" style="2"/>
    <col min="2302" max="2302" width="14.875" style="2" customWidth="1"/>
    <col min="2303" max="2305" width="3.625" style="2" customWidth="1"/>
    <col min="2306" max="2307" width="12.625" style="2" customWidth="1"/>
    <col min="2308" max="2308" width="7.5" style="2" customWidth="1"/>
    <col min="2309" max="2309" width="12.625" style="2" customWidth="1"/>
    <col min="2310" max="2310" width="6" style="2" customWidth="1"/>
    <col min="2311" max="2320" width="3.875" style="2" customWidth="1"/>
    <col min="2321" max="2321" width="2.5" style="2" customWidth="1"/>
    <col min="2322" max="2322" width="12.375" style="2" customWidth="1"/>
    <col min="2323" max="2323" width="9.125" style="2" bestFit="1" customWidth="1"/>
    <col min="2324" max="2325" width="9" style="2"/>
    <col min="2326" max="2326" width="4.5" style="2" bestFit="1" customWidth="1"/>
    <col min="2327" max="2327" width="9" style="2"/>
    <col min="2328" max="2328" width="4.5" style="2" bestFit="1" customWidth="1"/>
    <col min="2329" max="2330" width="5.625" style="2" customWidth="1"/>
    <col min="2331" max="2331" width="9" style="2"/>
    <col min="2332" max="2332" width="5.625" style="2" customWidth="1"/>
    <col min="2333" max="2333" width="9" style="2"/>
    <col min="2334" max="2335" width="5.625" style="2" customWidth="1"/>
    <col min="2336" max="2336" width="9" style="2"/>
    <col min="2337" max="2337" width="5.625" style="2" customWidth="1"/>
    <col min="2338" max="2338" width="9" style="2"/>
    <col min="2339" max="2339" width="11.625" style="2" bestFit="1" customWidth="1"/>
    <col min="2340" max="2557" width="9" style="2"/>
    <col min="2558" max="2558" width="14.875" style="2" customWidth="1"/>
    <col min="2559" max="2561" width="3.625" style="2" customWidth="1"/>
    <col min="2562" max="2563" width="12.625" style="2" customWidth="1"/>
    <col min="2564" max="2564" width="7.5" style="2" customWidth="1"/>
    <col min="2565" max="2565" width="12.625" style="2" customWidth="1"/>
    <col min="2566" max="2566" width="6" style="2" customWidth="1"/>
    <col min="2567" max="2576" width="3.875" style="2" customWidth="1"/>
    <col min="2577" max="2577" width="2.5" style="2" customWidth="1"/>
    <col min="2578" max="2578" width="12.375" style="2" customWidth="1"/>
    <col min="2579" max="2579" width="9.125" style="2" bestFit="1" customWidth="1"/>
    <col min="2580" max="2581" width="9" style="2"/>
    <col min="2582" max="2582" width="4.5" style="2" bestFit="1" customWidth="1"/>
    <col min="2583" max="2583" width="9" style="2"/>
    <col min="2584" max="2584" width="4.5" style="2" bestFit="1" customWidth="1"/>
    <col min="2585" max="2586" width="5.625" style="2" customWidth="1"/>
    <col min="2587" max="2587" width="9" style="2"/>
    <col min="2588" max="2588" width="5.625" style="2" customWidth="1"/>
    <col min="2589" max="2589" width="9" style="2"/>
    <col min="2590" max="2591" width="5.625" style="2" customWidth="1"/>
    <col min="2592" max="2592" width="9" style="2"/>
    <col min="2593" max="2593" width="5.625" style="2" customWidth="1"/>
    <col min="2594" max="2594" width="9" style="2"/>
    <col min="2595" max="2595" width="11.625" style="2" bestFit="1" customWidth="1"/>
    <col min="2596" max="2813" width="9" style="2"/>
    <col min="2814" max="2814" width="14.875" style="2" customWidth="1"/>
    <col min="2815" max="2817" width="3.625" style="2" customWidth="1"/>
    <col min="2818" max="2819" width="12.625" style="2" customWidth="1"/>
    <col min="2820" max="2820" width="7.5" style="2" customWidth="1"/>
    <col min="2821" max="2821" width="12.625" style="2" customWidth="1"/>
    <col min="2822" max="2822" width="6" style="2" customWidth="1"/>
    <col min="2823" max="2832" width="3.875" style="2" customWidth="1"/>
    <col min="2833" max="2833" width="2.5" style="2" customWidth="1"/>
    <col min="2834" max="2834" width="12.375" style="2" customWidth="1"/>
    <col min="2835" max="2835" width="9.125" style="2" bestFit="1" customWidth="1"/>
    <col min="2836" max="2837" width="9" style="2"/>
    <col min="2838" max="2838" width="4.5" style="2" bestFit="1" customWidth="1"/>
    <col min="2839" max="2839" width="9" style="2"/>
    <col min="2840" max="2840" width="4.5" style="2" bestFit="1" customWidth="1"/>
    <col min="2841" max="2842" width="5.625" style="2" customWidth="1"/>
    <col min="2843" max="2843" width="9" style="2"/>
    <col min="2844" max="2844" width="5.625" style="2" customWidth="1"/>
    <col min="2845" max="2845" width="9" style="2"/>
    <col min="2846" max="2847" width="5.625" style="2" customWidth="1"/>
    <col min="2848" max="2848" width="9" style="2"/>
    <col min="2849" max="2849" width="5.625" style="2" customWidth="1"/>
    <col min="2850" max="2850" width="9" style="2"/>
    <col min="2851" max="2851" width="11.625" style="2" bestFit="1" customWidth="1"/>
    <col min="2852" max="3069" width="9" style="2"/>
    <col min="3070" max="3070" width="14.875" style="2" customWidth="1"/>
    <col min="3071" max="3073" width="3.625" style="2" customWidth="1"/>
    <col min="3074" max="3075" width="12.625" style="2" customWidth="1"/>
    <col min="3076" max="3076" width="7.5" style="2" customWidth="1"/>
    <col min="3077" max="3077" width="12.625" style="2" customWidth="1"/>
    <col min="3078" max="3078" width="6" style="2" customWidth="1"/>
    <col min="3079" max="3088" width="3.875" style="2" customWidth="1"/>
    <col min="3089" max="3089" width="2.5" style="2" customWidth="1"/>
    <col min="3090" max="3090" width="12.375" style="2" customWidth="1"/>
    <col min="3091" max="3091" width="9.125" style="2" bestFit="1" customWidth="1"/>
    <col min="3092" max="3093" width="9" style="2"/>
    <col min="3094" max="3094" width="4.5" style="2" bestFit="1" customWidth="1"/>
    <col min="3095" max="3095" width="9" style="2"/>
    <col min="3096" max="3096" width="4.5" style="2" bestFit="1" customWidth="1"/>
    <col min="3097" max="3098" width="5.625" style="2" customWidth="1"/>
    <col min="3099" max="3099" width="9" style="2"/>
    <col min="3100" max="3100" width="5.625" style="2" customWidth="1"/>
    <col min="3101" max="3101" width="9" style="2"/>
    <col min="3102" max="3103" width="5.625" style="2" customWidth="1"/>
    <col min="3104" max="3104" width="9" style="2"/>
    <col min="3105" max="3105" width="5.625" style="2" customWidth="1"/>
    <col min="3106" max="3106" width="9" style="2"/>
    <col min="3107" max="3107" width="11.625" style="2" bestFit="1" customWidth="1"/>
    <col min="3108" max="3325" width="9" style="2"/>
    <col min="3326" max="3326" width="14.875" style="2" customWidth="1"/>
    <col min="3327" max="3329" width="3.625" style="2" customWidth="1"/>
    <col min="3330" max="3331" width="12.625" style="2" customWidth="1"/>
    <col min="3332" max="3332" width="7.5" style="2" customWidth="1"/>
    <col min="3333" max="3333" width="12.625" style="2" customWidth="1"/>
    <col min="3334" max="3334" width="6" style="2" customWidth="1"/>
    <col min="3335" max="3344" width="3.875" style="2" customWidth="1"/>
    <col min="3345" max="3345" width="2.5" style="2" customWidth="1"/>
    <col min="3346" max="3346" width="12.375" style="2" customWidth="1"/>
    <col min="3347" max="3347" width="9.125" style="2" bestFit="1" customWidth="1"/>
    <col min="3348" max="3349" width="9" style="2"/>
    <col min="3350" max="3350" width="4.5" style="2" bestFit="1" customWidth="1"/>
    <col min="3351" max="3351" width="9" style="2"/>
    <col min="3352" max="3352" width="4.5" style="2" bestFit="1" customWidth="1"/>
    <col min="3353" max="3354" width="5.625" style="2" customWidth="1"/>
    <col min="3355" max="3355" width="9" style="2"/>
    <col min="3356" max="3356" width="5.625" style="2" customWidth="1"/>
    <col min="3357" max="3357" width="9" style="2"/>
    <col min="3358" max="3359" width="5.625" style="2" customWidth="1"/>
    <col min="3360" max="3360" width="9" style="2"/>
    <col min="3361" max="3361" width="5.625" style="2" customWidth="1"/>
    <col min="3362" max="3362" width="9" style="2"/>
    <col min="3363" max="3363" width="11.625" style="2" bestFit="1" customWidth="1"/>
    <col min="3364" max="3581" width="9" style="2"/>
    <col min="3582" max="3582" width="14.875" style="2" customWidth="1"/>
    <col min="3583" max="3585" width="3.625" style="2" customWidth="1"/>
    <col min="3586" max="3587" width="12.625" style="2" customWidth="1"/>
    <col min="3588" max="3588" width="7.5" style="2" customWidth="1"/>
    <col min="3589" max="3589" width="12.625" style="2" customWidth="1"/>
    <col min="3590" max="3590" width="6" style="2" customWidth="1"/>
    <col min="3591" max="3600" width="3.875" style="2" customWidth="1"/>
    <col min="3601" max="3601" width="2.5" style="2" customWidth="1"/>
    <col min="3602" max="3602" width="12.375" style="2" customWidth="1"/>
    <col min="3603" max="3603" width="9.125" style="2" bestFit="1" customWidth="1"/>
    <col min="3604" max="3605" width="9" style="2"/>
    <col min="3606" max="3606" width="4.5" style="2" bestFit="1" customWidth="1"/>
    <col min="3607" max="3607" width="9" style="2"/>
    <col min="3608" max="3608" width="4.5" style="2" bestFit="1" customWidth="1"/>
    <col min="3609" max="3610" width="5.625" style="2" customWidth="1"/>
    <col min="3611" max="3611" width="9" style="2"/>
    <col min="3612" max="3612" width="5.625" style="2" customWidth="1"/>
    <col min="3613" max="3613" width="9" style="2"/>
    <col min="3614" max="3615" width="5.625" style="2" customWidth="1"/>
    <col min="3616" max="3616" width="9" style="2"/>
    <col min="3617" max="3617" width="5.625" style="2" customWidth="1"/>
    <col min="3618" max="3618" width="9" style="2"/>
    <col min="3619" max="3619" width="11.625" style="2" bestFit="1" customWidth="1"/>
    <col min="3620" max="3837" width="9" style="2"/>
    <col min="3838" max="3838" width="14.875" style="2" customWidth="1"/>
    <col min="3839" max="3841" width="3.625" style="2" customWidth="1"/>
    <col min="3842" max="3843" width="12.625" style="2" customWidth="1"/>
    <col min="3844" max="3844" width="7.5" style="2" customWidth="1"/>
    <col min="3845" max="3845" width="12.625" style="2" customWidth="1"/>
    <col min="3846" max="3846" width="6" style="2" customWidth="1"/>
    <col min="3847" max="3856" width="3.875" style="2" customWidth="1"/>
    <col min="3857" max="3857" width="2.5" style="2" customWidth="1"/>
    <col min="3858" max="3858" width="12.375" style="2" customWidth="1"/>
    <col min="3859" max="3859" width="9.125" style="2" bestFit="1" customWidth="1"/>
    <col min="3860" max="3861" width="9" style="2"/>
    <col min="3862" max="3862" width="4.5" style="2" bestFit="1" customWidth="1"/>
    <col min="3863" max="3863" width="9" style="2"/>
    <col min="3864" max="3864" width="4.5" style="2" bestFit="1" customWidth="1"/>
    <col min="3865" max="3866" width="5.625" style="2" customWidth="1"/>
    <col min="3867" max="3867" width="9" style="2"/>
    <col min="3868" max="3868" width="5.625" style="2" customWidth="1"/>
    <col min="3869" max="3869" width="9" style="2"/>
    <col min="3870" max="3871" width="5.625" style="2" customWidth="1"/>
    <col min="3872" max="3872" width="9" style="2"/>
    <col min="3873" max="3873" width="5.625" style="2" customWidth="1"/>
    <col min="3874" max="3874" width="9" style="2"/>
    <col min="3875" max="3875" width="11.625" style="2" bestFit="1" customWidth="1"/>
    <col min="3876" max="4093" width="9" style="2"/>
    <col min="4094" max="4094" width="14.875" style="2" customWidth="1"/>
    <col min="4095" max="4097" width="3.625" style="2" customWidth="1"/>
    <col min="4098" max="4099" width="12.625" style="2" customWidth="1"/>
    <col min="4100" max="4100" width="7.5" style="2" customWidth="1"/>
    <col min="4101" max="4101" width="12.625" style="2" customWidth="1"/>
    <col min="4102" max="4102" width="6" style="2" customWidth="1"/>
    <col min="4103" max="4112" width="3.875" style="2" customWidth="1"/>
    <col min="4113" max="4113" width="2.5" style="2" customWidth="1"/>
    <col min="4114" max="4114" width="12.375" style="2" customWidth="1"/>
    <col min="4115" max="4115" width="9.125" style="2" bestFit="1" customWidth="1"/>
    <col min="4116" max="4117" width="9" style="2"/>
    <col min="4118" max="4118" width="4.5" style="2" bestFit="1" customWidth="1"/>
    <col min="4119" max="4119" width="9" style="2"/>
    <col min="4120" max="4120" width="4.5" style="2" bestFit="1" customWidth="1"/>
    <col min="4121" max="4122" width="5.625" style="2" customWidth="1"/>
    <col min="4123" max="4123" width="9" style="2"/>
    <col min="4124" max="4124" width="5.625" style="2" customWidth="1"/>
    <col min="4125" max="4125" width="9" style="2"/>
    <col min="4126" max="4127" width="5.625" style="2" customWidth="1"/>
    <col min="4128" max="4128" width="9" style="2"/>
    <col min="4129" max="4129" width="5.625" style="2" customWidth="1"/>
    <col min="4130" max="4130" width="9" style="2"/>
    <col min="4131" max="4131" width="11.625" style="2" bestFit="1" customWidth="1"/>
    <col min="4132" max="4349" width="9" style="2"/>
    <col min="4350" max="4350" width="14.875" style="2" customWidth="1"/>
    <col min="4351" max="4353" width="3.625" style="2" customWidth="1"/>
    <col min="4354" max="4355" width="12.625" style="2" customWidth="1"/>
    <col min="4356" max="4356" width="7.5" style="2" customWidth="1"/>
    <col min="4357" max="4357" width="12.625" style="2" customWidth="1"/>
    <col min="4358" max="4358" width="6" style="2" customWidth="1"/>
    <col min="4359" max="4368" width="3.875" style="2" customWidth="1"/>
    <col min="4369" max="4369" width="2.5" style="2" customWidth="1"/>
    <col min="4370" max="4370" width="12.375" style="2" customWidth="1"/>
    <col min="4371" max="4371" width="9.125" style="2" bestFit="1" customWidth="1"/>
    <col min="4372" max="4373" width="9" style="2"/>
    <col min="4374" max="4374" width="4.5" style="2" bestFit="1" customWidth="1"/>
    <col min="4375" max="4375" width="9" style="2"/>
    <col min="4376" max="4376" width="4.5" style="2" bestFit="1" customWidth="1"/>
    <col min="4377" max="4378" width="5.625" style="2" customWidth="1"/>
    <col min="4379" max="4379" width="9" style="2"/>
    <col min="4380" max="4380" width="5.625" style="2" customWidth="1"/>
    <col min="4381" max="4381" width="9" style="2"/>
    <col min="4382" max="4383" width="5.625" style="2" customWidth="1"/>
    <col min="4384" max="4384" width="9" style="2"/>
    <col min="4385" max="4385" width="5.625" style="2" customWidth="1"/>
    <col min="4386" max="4386" width="9" style="2"/>
    <col min="4387" max="4387" width="11.625" style="2" bestFit="1" customWidth="1"/>
    <col min="4388" max="4605" width="9" style="2"/>
    <col min="4606" max="4606" width="14.875" style="2" customWidth="1"/>
    <col min="4607" max="4609" width="3.625" style="2" customWidth="1"/>
    <col min="4610" max="4611" width="12.625" style="2" customWidth="1"/>
    <col min="4612" max="4612" width="7.5" style="2" customWidth="1"/>
    <col min="4613" max="4613" width="12.625" style="2" customWidth="1"/>
    <col min="4614" max="4614" width="6" style="2" customWidth="1"/>
    <col min="4615" max="4624" width="3.875" style="2" customWidth="1"/>
    <col min="4625" max="4625" width="2.5" style="2" customWidth="1"/>
    <col min="4626" max="4626" width="12.375" style="2" customWidth="1"/>
    <col min="4627" max="4627" width="9.125" style="2" bestFit="1" customWidth="1"/>
    <col min="4628" max="4629" width="9" style="2"/>
    <col min="4630" max="4630" width="4.5" style="2" bestFit="1" customWidth="1"/>
    <col min="4631" max="4631" width="9" style="2"/>
    <col min="4632" max="4632" width="4.5" style="2" bestFit="1" customWidth="1"/>
    <col min="4633" max="4634" width="5.625" style="2" customWidth="1"/>
    <col min="4635" max="4635" width="9" style="2"/>
    <col min="4636" max="4636" width="5.625" style="2" customWidth="1"/>
    <col min="4637" max="4637" width="9" style="2"/>
    <col min="4638" max="4639" width="5.625" style="2" customWidth="1"/>
    <col min="4640" max="4640" width="9" style="2"/>
    <col min="4641" max="4641" width="5.625" style="2" customWidth="1"/>
    <col min="4642" max="4642" width="9" style="2"/>
    <col min="4643" max="4643" width="11.625" style="2" bestFit="1" customWidth="1"/>
    <col min="4644" max="4861" width="9" style="2"/>
    <col min="4862" max="4862" width="14.875" style="2" customWidth="1"/>
    <col min="4863" max="4865" width="3.625" style="2" customWidth="1"/>
    <col min="4866" max="4867" width="12.625" style="2" customWidth="1"/>
    <col min="4868" max="4868" width="7.5" style="2" customWidth="1"/>
    <col min="4869" max="4869" width="12.625" style="2" customWidth="1"/>
    <col min="4870" max="4870" width="6" style="2" customWidth="1"/>
    <col min="4871" max="4880" width="3.875" style="2" customWidth="1"/>
    <col min="4881" max="4881" width="2.5" style="2" customWidth="1"/>
    <col min="4882" max="4882" width="12.375" style="2" customWidth="1"/>
    <col min="4883" max="4883" width="9.125" style="2" bestFit="1" customWidth="1"/>
    <col min="4884" max="4885" width="9" style="2"/>
    <col min="4886" max="4886" width="4.5" style="2" bestFit="1" customWidth="1"/>
    <col min="4887" max="4887" width="9" style="2"/>
    <col min="4888" max="4888" width="4.5" style="2" bestFit="1" customWidth="1"/>
    <col min="4889" max="4890" width="5.625" style="2" customWidth="1"/>
    <col min="4891" max="4891" width="9" style="2"/>
    <col min="4892" max="4892" width="5.625" style="2" customWidth="1"/>
    <col min="4893" max="4893" width="9" style="2"/>
    <col min="4894" max="4895" width="5.625" style="2" customWidth="1"/>
    <col min="4896" max="4896" width="9" style="2"/>
    <col min="4897" max="4897" width="5.625" style="2" customWidth="1"/>
    <col min="4898" max="4898" width="9" style="2"/>
    <col min="4899" max="4899" width="11.625" style="2" bestFit="1" customWidth="1"/>
    <col min="4900" max="5117" width="9" style="2"/>
    <col min="5118" max="5118" width="14.875" style="2" customWidth="1"/>
    <col min="5119" max="5121" width="3.625" style="2" customWidth="1"/>
    <col min="5122" max="5123" width="12.625" style="2" customWidth="1"/>
    <col min="5124" max="5124" width="7.5" style="2" customWidth="1"/>
    <col min="5125" max="5125" width="12.625" style="2" customWidth="1"/>
    <col min="5126" max="5126" width="6" style="2" customWidth="1"/>
    <col min="5127" max="5136" width="3.875" style="2" customWidth="1"/>
    <col min="5137" max="5137" width="2.5" style="2" customWidth="1"/>
    <col min="5138" max="5138" width="12.375" style="2" customWidth="1"/>
    <col min="5139" max="5139" width="9.125" style="2" bestFit="1" customWidth="1"/>
    <col min="5140" max="5141" width="9" style="2"/>
    <col min="5142" max="5142" width="4.5" style="2" bestFit="1" customWidth="1"/>
    <col min="5143" max="5143" width="9" style="2"/>
    <col min="5144" max="5144" width="4.5" style="2" bestFit="1" customWidth="1"/>
    <col min="5145" max="5146" width="5.625" style="2" customWidth="1"/>
    <col min="5147" max="5147" width="9" style="2"/>
    <col min="5148" max="5148" width="5.625" style="2" customWidth="1"/>
    <col min="5149" max="5149" width="9" style="2"/>
    <col min="5150" max="5151" width="5.625" style="2" customWidth="1"/>
    <col min="5152" max="5152" width="9" style="2"/>
    <col min="5153" max="5153" width="5.625" style="2" customWidth="1"/>
    <col min="5154" max="5154" width="9" style="2"/>
    <col min="5155" max="5155" width="11.625" style="2" bestFit="1" customWidth="1"/>
    <col min="5156" max="5373" width="9" style="2"/>
    <col min="5374" max="5374" width="14.875" style="2" customWidth="1"/>
    <col min="5375" max="5377" width="3.625" style="2" customWidth="1"/>
    <col min="5378" max="5379" width="12.625" style="2" customWidth="1"/>
    <col min="5380" max="5380" width="7.5" style="2" customWidth="1"/>
    <col min="5381" max="5381" width="12.625" style="2" customWidth="1"/>
    <col min="5382" max="5382" width="6" style="2" customWidth="1"/>
    <col min="5383" max="5392" width="3.875" style="2" customWidth="1"/>
    <col min="5393" max="5393" width="2.5" style="2" customWidth="1"/>
    <col min="5394" max="5394" width="12.375" style="2" customWidth="1"/>
    <col min="5395" max="5395" width="9.125" style="2" bestFit="1" customWidth="1"/>
    <col min="5396" max="5397" width="9" style="2"/>
    <col min="5398" max="5398" width="4.5" style="2" bestFit="1" customWidth="1"/>
    <col min="5399" max="5399" width="9" style="2"/>
    <col min="5400" max="5400" width="4.5" style="2" bestFit="1" customWidth="1"/>
    <col min="5401" max="5402" width="5.625" style="2" customWidth="1"/>
    <col min="5403" max="5403" width="9" style="2"/>
    <col min="5404" max="5404" width="5.625" style="2" customWidth="1"/>
    <col min="5405" max="5405" width="9" style="2"/>
    <col min="5406" max="5407" width="5.625" style="2" customWidth="1"/>
    <col min="5408" max="5408" width="9" style="2"/>
    <col min="5409" max="5409" width="5.625" style="2" customWidth="1"/>
    <col min="5410" max="5410" width="9" style="2"/>
    <col min="5411" max="5411" width="11.625" style="2" bestFit="1" customWidth="1"/>
    <col min="5412" max="5629" width="9" style="2"/>
    <col min="5630" max="5630" width="14.875" style="2" customWidth="1"/>
    <col min="5631" max="5633" width="3.625" style="2" customWidth="1"/>
    <col min="5634" max="5635" width="12.625" style="2" customWidth="1"/>
    <col min="5636" max="5636" width="7.5" style="2" customWidth="1"/>
    <col min="5637" max="5637" width="12.625" style="2" customWidth="1"/>
    <col min="5638" max="5638" width="6" style="2" customWidth="1"/>
    <col min="5639" max="5648" width="3.875" style="2" customWidth="1"/>
    <col min="5649" max="5649" width="2.5" style="2" customWidth="1"/>
    <col min="5650" max="5650" width="12.375" style="2" customWidth="1"/>
    <col min="5651" max="5651" width="9.125" style="2" bestFit="1" customWidth="1"/>
    <col min="5652" max="5653" width="9" style="2"/>
    <col min="5654" max="5654" width="4.5" style="2" bestFit="1" customWidth="1"/>
    <col min="5655" max="5655" width="9" style="2"/>
    <col min="5656" max="5656" width="4.5" style="2" bestFit="1" customWidth="1"/>
    <col min="5657" max="5658" width="5.625" style="2" customWidth="1"/>
    <col min="5659" max="5659" width="9" style="2"/>
    <col min="5660" max="5660" width="5.625" style="2" customWidth="1"/>
    <col min="5661" max="5661" width="9" style="2"/>
    <col min="5662" max="5663" width="5.625" style="2" customWidth="1"/>
    <col min="5664" max="5664" width="9" style="2"/>
    <col min="5665" max="5665" width="5.625" style="2" customWidth="1"/>
    <col min="5666" max="5666" width="9" style="2"/>
    <col min="5667" max="5667" width="11.625" style="2" bestFit="1" customWidth="1"/>
    <col min="5668" max="5885" width="9" style="2"/>
    <col min="5886" max="5886" width="14.875" style="2" customWidth="1"/>
    <col min="5887" max="5889" width="3.625" style="2" customWidth="1"/>
    <col min="5890" max="5891" width="12.625" style="2" customWidth="1"/>
    <col min="5892" max="5892" width="7.5" style="2" customWidth="1"/>
    <col min="5893" max="5893" width="12.625" style="2" customWidth="1"/>
    <col min="5894" max="5894" width="6" style="2" customWidth="1"/>
    <col min="5895" max="5904" width="3.875" style="2" customWidth="1"/>
    <col min="5905" max="5905" width="2.5" style="2" customWidth="1"/>
    <col min="5906" max="5906" width="12.375" style="2" customWidth="1"/>
    <col min="5907" max="5907" width="9.125" style="2" bestFit="1" customWidth="1"/>
    <col min="5908" max="5909" width="9" style="2"/>
    <col min="5910" max="5910" width="4.5" style="2" bestFit="1" customWidth="1"/>
    <col min="5911" max="5911" width="9" style="2"/>
    <col min="5912" max="5912" width="4.5" style="2" bestFit="1" customWidth="1"/>
    <col min="5913" max="5914" width="5.625" style="2" customWidth="1"/>
    <col min="5915" max="5915" width="9" style="2"/>
    <col min="5916" max="5916" width="5.625" style="2" customWidth="1"/>
    <col min="5917" max="5917" width="9" style="2"/>
    <col min="5918" max="5919" width="5.625" style="2" customWidth="1"/>
    <col min="5920" max="5920" width="9" style="2"/>
    <col min="5921" max="5921" width="5.625" style="2" customWidth="1"/>
    <col min="5922" max="5922" width="9" style="2"/>
    <col min="5923" max="5923" width="11.625" style="2" bestFit="1" customWidth="1"/>
    <col min="5924" max="6141" width="9" style="2"/>
    <col min="6142" max="6142" width="14.875" style="2" customWidth="1"/>
    <col min="6143" max="6145" width="3.625" style="2" customWidth="1"/>
    <col min="6146" max="6147" width="12.625" style="2" customWidth="1"/>
    <col min="6148" max="6148" width="7.5" style="2" customWidth="1"/>
    <col min="6149" max="6149" width="12.625" style="2" customWidth="1"/>
    <col min="6150" max="6150" width="6" style="2" customWidth="1"/>
    <col min="6151" max="6160" width="3.875" style="2" customWidth="1"/>
    <col min="6161" max="6161" width="2.5" style="2" customWidth="1"/>
    <col min="6162" max="6162" width="12.375" style="2" customWidth="1"/>
    <col min="6163" max="6163" width="9.125" style="2" bestFit="1" customWidth="1"/>
    <col min="6164" max="6165" width="9" style="2"/>
    <col min="6166" max="6166" width="4.5" style="2" bestFit="1" customWidth="1"/>
    <col min="6167" max="6167" width="9" style="2"/>
    <col min="6168" max="6168" width="4.5" style="2" bestFit="1" customWidth="1"/>
    <col min="6169" max="6170" width="5.625" style="2" customWidth="1"/>
    <col min="6171" max="6171" width="9" style="2"/>
    <col min="6172" max="6172" width="5.625" style="2" customWidth="1"/>
    <col min="6173" max="6173" width="9" style="2"/>
    <col min="6174" max="6175" width="5.625" style="2" customWidth="1"/>
    <col min="6176" max="6176" width="9" style="2"/>
    <col min="6177" max="6177" width="5.625" style="2" customWidth="1"/>
    <col min="6178" max="6178" width="9" style="2"/>
    <col min="6179" max="6179" width="11.625" style="2" bestFit="1" customWidth="1"/>
    <col min="6180" max="6397" width="9" style="2"/>
    <col min="6398" max="6398" width="14.875" style="2" customWidth="1"/>
    <col min="6399" max="6401" width="3.625" style="2" customWidth="1"/>
    <col min="6402" max="6403" width="12.625" style="2" customWidth="1"/>
    <col min="6404" max="6404" width="7.5" style="2" customWidth="1"/>
    <col min="6405" max="6405" width="12.625" style="2" customWidth="1"/>
    <col min="6406" max="6406" width="6" style="2" customWidth="1"/>
    <col min="6407" max="6416" width="3.875" style="2" customWidth="1"/>
    <col min="6417" max="6417" width="2.5" style="2" customWidth="1"/>
    <col min="6418" max="6418" width="12.375" style="2" customWidth="1"/>
    <col min="6419" max="6419" width="9.125" style="2" bestFit="1" customWidth="1"/>
    <col min="6420" max="6421" width="9" style="2"/>
    <col min="6422" max="6422" width="4.5" style="2" bestFit="1" customWidth="1"/>
    <col min="6423" max="6423" width="9" style="2"/>
    <col min="6424" max="6424" width="4.5" style="2" bestFit="1" customWidth="1"/>
    <col min="6425" max="6426" width="5.625" style="2" customWidth="1"/>
    <col min="6427" max="6427" width="9" style="2"/>
    <col min="6428" max="6428" width="5.625" style="2" customWidth="1"/>
    <col min="6429" max="6429" width="9" style="2"/>
    <col min="6430" max="6431" width="5.625" style="2" customWidth="1"/>
    <col min="6432" max="6432" width="9" style="2"/>
    <col min="6433" max="6433" width="5.625" style="2" customWidth="1"/>
    <col min="6434" max="6434" width="9" style="2"/>
    <col min="6435" max="6435" width="11.625" style="2" bestFit="1" customWidth="1"/>
    <col min="6436" max="6653" width="9" style="2"/>
    <col min="6654" max="6654" width="14.875" style="2" customWidth="1"/>
    <col min="6655" max="6657" width="3.625" style="2" customWidth="1"/>
    <col min="6658" max="6659" width="12.625" style="2" customWidth="1"/>
    <col min="6660" max="6660" width="7.5" style="2" customWidth="1"/>
    <col min="6661" max="6661" width="12.625" style="2" customWidth="1"/>
    <col min="6662" max="6662" width="6" style="2" customWidth="1"/>
    <col min="6663" max="6672" width="3.875" style="2" customWidth="1"/>
    <col min="6673" max="6673" width="2.5" style="2" customWidth="1"/>
    <col min="6674" max="6674" width="12.375" style="2" customWidth="1"/>
    <col min="6675" max="6675" width="9.125" style="2" bestFit="1" customWidth="1"/>
    <col min="6676" max="6677" width="9" style="2"/>
    <col min="6678" max="6678" width="4.5" style="2" bestFit="1" customWidth="1"/>
    <col min="6679" max="6679" width="9" style="2"/>
    <col min="6680" max="6680" width="4.5" style="2" bestFit="1" customWidth="1"/>
    <col min="6681" max="6682" width="5.625" style="2" customWidth="1"/>
    <col min="6683" max="6683" width="9" style="2"/>
    <col min="6684" max="6684" width="5.625" style="2" customWidth="1"/>
    <col min="6685" max="6685" width="9" style="2"/>
    <col min="6686" max="6687" width="5.625" style="2" customWidth="1"/>
    <col min="6688" max="6688" width="9" style="2"/>
    <col min="6689" max="6689" width="5.625" style="2" customWidth="1"/>
    <col min="6690" max="6690" width="9" style="2"/>
    <col min="6691" max="6691" width="11.625" style="2" bestFit="1" customWidth="1"/>
    <col min="6692" max="6909" width="9" style="2"/>
    <col min="6910" max="6910" width="14.875" style="2" customWidth="1"/>
    <col min="6911" max="6913" width="3.625" style="2" customWidth="1"/>
    <col min="6914" max="6915" width="12.625" style="2" customWidth="1"/>
    <col min="6916" max="6916" width="7.5" style="2" customWidth="1"/>
    <col min="6917" max="6917" width="12.625" style="2" customWidth="1"/>
    <col min="6918" max="6918" width="6" style="2" customWidth="1"/>
    <col min="6919" max="6928" width="3.875" style="2" customWidth="1"/>
    <col min="6929" max="6929" width="2.5" style="2" customWidth="1"/>
    <col min="6930" max="6930" width="12.375" style="2" customWidth="1"/>
    <col min="6931" max="6931" width="9.125" style="2" bestFit="1" customWidth="1"/>
    <col min="6932" max="6933" width="9" style="2"/>
    <col min="6934" max="6934" width="4.5" style="2" bestFit="1" customWidth="1"/>
    <col min="6935" max="6935" width="9" style="2"/>
    <col min="6936" max="6936" width="4.5" style="2" bestFit="1" customWidth="1"/>
    <col min="6937" max="6938" width="5.625" style="2" customWidth="1"/>
    <col min="6939" max="6939" width="9" style="2"/>
    <col min="6940" max="6940" width="5.625" style="2" customWidth="1"/>
    <col min="6941" max="6941" width="9" style="2"/>
    <col min="6942" max="6943" width="5.625" style="2" customWidth="1"/>
    <col min="6944" max="6944" width="9" style="2"/>
    <col min="6945" max="6945" width="5.625" style="2" customWidth="1"/>
    <col min="6946" max="6946" width="9" style="2"/>
    <col min="6947" max="6947" width="11.625" style="2" bestFit="1" customWidth="1"/>
    <col min="6948" max="7165" width="9" style="2"/>
    <col min="7166" max="7166" width="14.875" style="2" customWidth="1"/>
    <col min="7167" max="7169" width="3.625" style="2" customWidth="1"/>
    <col min="7170" max="7171" width="12.625" style="2" customWidth="1"/>
    <col min="7172" max="7172" width="7.5" style="2" customWidth="1"/>
    <col min="7173" max="7173" width="12.625" style="2" customWidth="1"/>
    <col min="7174" max="7174" width="6" style="2" customWidth="1"/>
    <col min="7175" max="7184" width="3.875" style="2" customWidth="1"/>
    <col min="7185" max="7185" width="2.5" style="2" customWidth="1"/>
    <col min="7186" max="7186" width="12.375" style="2" customWidth="1"/>
    <col min="7187" max="7187" width="9.125" style="2" bestFit="1" customWidth="1"/>
    <col min="7188" max="7189" width="9" style="2"/>
    <col min="7190" max="7190" width="4.5" style="2" bestFit="1" customWidth="1"/>
    <col min="7191" max="7191" width="9" style="2"/>
    <col min="7192" max="7192" width="4.5" style="2" bestFit="1" customWidth="1"/>
    <col min="7193" max="7194" width="5.625" style="2" customWidth="1"/>
    <col min="7195" max="7195" width="9" style="2"/>
    <col min="7196" max="7196" width="5.625" style="2" customWidth="1"/>
    <col min="7197" max="7197" width="9" style="2"/>
    <col min="7198" max="7199" width="5.625" style="2" customWidth="1"/>
    <col min="7200" max="7200" width="9" style="2"/>
    <col min="7201" max="7201" width="5.625" style="2" customWidth="1"/>
    <col min="7202" max="7202" width="9" style="2"/>
    <col min="7203" max="7203" width="11.625" style="2" bestFit="1" customWidth="1"/>
    <col min="7204" max="7421" width="9" style="2"/>
    <col min="7422" max="7422" width="14.875" style="2" customWidth="1"/>
    <col min="7423" max="7425" width="3.625" style="2" customWidth="1"/>
    <col min="7426" max="7427" width="12.625" style="2" customWidth="1"/>
    <col min="7428" max="7428" width="7.5" style="2" customWidth="1"/>
    <col min="7429" max="7429" width="12.625" style="2" customWidth="1"/>
    <col min="7430" max="7430" width="6" style="2" customWidth="1"/>
    <col min="7431" max="7440" width="3.875" style="2" customWidth="1"/>
    <col min="7441" max="7441" width="2.5" style="2" customWidth="1"/>
    <col min="7442" max="7442" width="12.375" style="2" customWidth="1"/>
    <col min="7443" max="7443" width="9.125" style="2" bestFit="1" customWidth="1"/>
    <col min="7444" max="7445" width="9" style="2"/>
    <col min="7446" max="7446" width="4.5" style="2" bestFit="1" customWidth="1"/>
    <col min="7447" max="7447" width="9" style="2"/>
    <col min="7448" max="7448" width="4.5" style="2" bestFit="1" customWidth="1"/>
    <col min="7449" max="7450" width="5.625" style="2" customWidth="1"/>
    <col min="7451" max="7451" width="9" style="2"/>
    <col min="7452" max="7452" width="5.625" style="2" customWidth="1"/>
    <col min="7453" max="7453" width="9" style="2"/>
    <col min="7454" max="7455" width="5.625" style="2" customWidth="1"/>
    <col min="7456" max="7456" width="9" style="2"/>
    <col min="7457" max="7457" width="5.625" style="2" customWidth="1"/>
    <col min="7458" max="7458" width="9" style="2"/>
    <col min="7459" max="7459" width="11.625" style="2" bestFit="1" customWidth="1"/>
    <col min="7460" max="7677" width="9" style="2"/>
    <col min="7678" max="7678" width="14.875" style="2" customWidth="1"/>
    <col min="7679" max="7681" width="3.625" style="2" customWidth="1"/>
    <col min="7682" max="7683" width="12.625" style="2" customWidth="1"/>
    <col min="7684" max="7684" width="7.5" style="2" customWidth="1"/>
    <col min="7685" max="7685" width="12.625" style="2" customWidth="1"/>
    <col min="7686" max="7686" width="6" style="2" customWidth="1"/>
    <col min="7687" max="7696" width="3.875" style="2" customWidth="1"/>
    <col min="7697" max="7697" width="2.5" style="2" customWidth="1"/>
    <col min="7698" max="7698" width="12.375" style="2" customWidth="1"/>
    <col min="7699" max="7699" width="9.125" style="2" bestFit="1" customWidth="1"/>
    <col min="7700" max="7701" width="9" style="2"/>
    <col min="7702" max="7702" width="4.5" style="2" bestFit="1" customWidth="1"/>
    <col min="7703" max="7703" width="9" style="2"/>
    <col min="7704" max="7704" width="4.5" style="2" bestFit="1" customWidth="1"/>
    <col min="7705" max="7706" width="5.625" style="2" customWidth="1"/>
    <col min="7707" max="7707" width="9" style="2"/>
    <col min="7708" max="7708" width="5.625" style="2" customWidth="1"/>
    <col min="7709" max="7709" width="9" style="2"/>
    <col min="7710" max="7711" width="5.625" style="2" customWidth="1"/>
    <col min="7712" max="7712" width="9" style="2"/>
    <col min="7713" max="7713" width="5.625" style="2" customWidth="1"/>
    <col min="7714" max="7714" width="9" style="2"/>
    <col min="7715" max="7715" width="11.625" style="2" bestFit="1" customWidth="1"/>
    <col min="7716" max="7933" width="9" style="2"/>
    <col min="7934" max="7934" width="14.875" style="2" customWidth="1"/>
    <col min="7935" max="7937" width="3.625" style="2" customWidth="1"/>
    <col min="7938" max="7939" width="12.625" style="2" customWidth="1"/>
    <col min="7940" max="7940" width="7.5" style="2" customWidth="1"/>
    <col min="7941" max="7941" width="12.625" style="2" customWidth="1"/>
    <col min="7942" max="7942" width="6" style="2" customWidth="1"/>
    <col min="7943" max="7952" width="3.875" style="2" customWidth="1"/>
    <col min="7953" max="7953" width="2.5" style="2" customWidth="1"/>
    <col min="7954" max="7954" width="12.375" style="2" customWidth="1"/>
    <col min="7955" max="7955" width="9.125" style="2" bestFit="1" customWidth="1"/>
    <col min="7956" max="7957" width="9" style="2"/>
    <col min="7958" max="7958" width="4.5" style="2" bestFit="1" customWidth="1"/>
    <col min="7959" max="7959" width="9" style="2"/>
    <col min="7960" max="7960" width="4.5" style="2" bestFit="1" customWidth="1"/>
    <col min="7961" max="7962" width="5.625" style="2" customWidth="1"/>
    <col min="7963" max="7963" width="9" style="2"/>
    <col min="7964" max="7964" width="5.625" style="2" customWidth="1"/>
    <col min="7965" max="7965" width="9" style="2"/>
    <col min="7966" max="7967" width="5.625" style="2" customWidth="1"/>
    <col min="7968" max="7968" width="9" style="2"/>
    <col min="7969" max="7969" width="5.625" style="2" customWidth="1"/>
    <col min="7970" max="7970" width="9" style="2"/>
    <col min="7971" max="7971" width="11.625" style="2" bestFit="1" customWidth="1"/>
    <col min="7972" max="8189" width="9" style="2"/>
    <col min="8190" max="8190" width="14.875" style="2" customWidth="1"/>
    <col min="8191" max="8193" width="3.625" style="2" customWidth="1"/>
    <col min="8194" max="8195" width="12.625" style="2" customWidth="1"/>
    <col min="8196" max="8196" width="7.5" style="2" customWidth="1"/>
    <col min="8197" max="8197" width="12.625" style="2" customWidth="1"/>
    <col min="8198" max="8198" width="6" style="2" customWidth="1"/>
    <col min="8199" max="8208" width="3.875" style="2" customWidth="1"/>
    <col min="8209" max="8209" width="2.5" style="2" customWidth="1"/>
    <col min="8210" max="8210" width="12.375" style="2" customWidth="1"/>
    <col min="8211" max="8211" width="9.125" style="2" bestFit="1" customWidth="1"/>
    <col min="8212" max="8213" width="9" style="2"/>
    <col min="8214" max="8214" width="4.5" style="2" bestFit="1" customWidth="1"/>
    <col min="8215" max="8215" width="9" style="2"/>
    <col min="8216" max="8216" width="4.5" style="2" bestFit="1" customWidth="1"/>
    <col min="8217" max="8218" width="5.625" style="2" customWidth="1"/>
    <col min="8219" max="8219" width="9" style="2"/>
    <col min="8220" max="8220" width="5.625" style="2" customWidth="1"/>
    <col min="8221" max="8221" width="9" style="2"/>
    <col min="8222" max="8223" width="5.625" style="2" customWidth="1"/>
    <col min="8224" max="8224" width="9" style="2"/>
    <col min="8225" max="8225" width="5.625" style="2" customWidth="1"/>
    <col min="8226" max="8226" width="9" style="2"/>
    <col min="8227" max="8227" width="11.625" style="2" bestFit="1" customWidth="1"/>
    <col min="8228" max="8445" width="9" style="2"/>
    <col min="8446" max="8446" width="14.875" style="2" customWidth="1"/>
    <col min="8447" max="8449" width="3.625" style="2" customWidth="1"/>
    <col min="8450" max="8451" width="12.625" style="2" customWidth="1"/>
    <col min="8452" max="8452" width="7.5" style="2" customWidth="1"/>
    <col min="8453" max="8453" width="12.625" style="2" customWidth="1"/>
    <col min="8454" max="8454" width="6" style="2" customWidth="1"/>
    <col min="8455" max="8464" width="3.875" style="2" customWidth="1"/>
    <col min="8465" max="8465" width="2.5" style="2" customWidth="1"/>
    <col min="8466" max="8466" width="12.375" style="2" customWidth="1"/>
    <col min="8467" max="8467" width="9.125" style="2" bestFit="1" customWidth="1"/>
    <col min="8468" max="8469" width="9" style="2"/>
    <col min="8470" max="8470" width="4.5" style="2" bestFit="1" customWidth="1"/>
    <col min="8471" max="8471" width="9" style="2"/>
    <col min="8472" max="8472" width="4.5" style="2" bestFit="1" customWidth="1"/>
    <col min="8473" max="8474" width="5.625" style="2" customWidth="1"/>
    <col min="8475" max="8475" width="9" style="2"/>
    <col min="8476" max="8476" width="5.625" style="2" customWidth="1"/>
    <col min="8477" max="8477" width="9" style="2"/>
    <col min="8478" max="8479" width="5.625" style="2" customWidth="1"/>
    <col min="8480" max="8480" width="9" style="2"/>
    <col min="8481" max="8481" width="5.625" style="2" customWidth="1"/>
    <col min="8482" max="8482" width="9" style="2"/>
    <col min="8483" max="8483" width="11.625" style="2" bestFit="1" customWidth="1"/>
    <col min="8484" max="8701" width="9" style="2"/>
    <col min="8702" max="8702" width="14.875" style="2" customWidth="1"/>
    <col min="8703" max="8705" width="3.625" style="2" customWidth="1"/>
    <col min="8706" max="8707" width="12.625" style="2" customWidth="1"/>
    <col min="8708" max="8708" width="7.5" style="2" customWidth="1"/>
    <col min="8709" max="8709" width="12.625" style="2" customWidth="1"/>
    <col min="8710" max="8710" width="6" style="2" customWidth="1"/>
    <col min="8711" max="8720" width="3.875" style="2" customWidth="1"/>
    <col min="8721" max="8721" width="2.5" style="2" customWidth="1"/>
    <col min="8722" max="8722" width="12.375" style="2" customWidth="1"/>
    <col min="8723" max="8723" width="9.125" style="2" bestFit="1" customWidth="1"/>
    <col min="8724" max="8725" width="9" style="2"/>
    <col min="8726" max="8726" width="4.5" style="2" bestFit="1" customWidth="1"/>
    <col min="8727" max="8727" width="9" style="2"/>
    <col min="8728" max="8728" width="4.5" style="2" bestFit="1" customWidth="1"/>
    <col min="8729" max="8730" width="5.625" style="2" customWidth="1"/>
    <col min="8731" max="8731" width="9" style="2"/>
    <col min="8732" max="8732" width="5.625" style="2" customWidth="1"/>
    <col min="8733" max="8733" width="9" style="2"/>
    <col min="8734" max="8735" width="5.625" style="2" customWidth="1"/>
    <col min="8736" max="8736" width="9" style="2"/>
    <col min="8737" max="8737" width="5.625" style="2" customWidth="1"/>
    <col min="8738" max="8738" width="9" style="2"/>
    <col min="8739" max="8739" width="11.625" style="2" bestFit="1" customWidth="1"/>
    <col min="8740" max="8957" width="9" style="2"/>
    <col min="8958" max="8958" width="14.875" style="2" customWidth="1"/>
    <col min="8959" max="8961" width="3.625" style="2" customWidth="1"/>
    <col min="8962" max="8963" width="12.625" style="2" customWidth="1"/>
    <col min="8964" max="8964" width="7.5" style="2" customWidth="1"/>
    <col min="8965" max="8965" width="12.625" style="2" customWidth="1"/>
    <col min="8966" max="8966" width="6" style="2" customWidth="1"/>
    <col min="8967" max="8976" width="3.875" style="2" customWidth="1"/>
    <col min="8977" max="8977" width="2.5" style="2" customWidth="1"/>
    <col min="8978" max="8978" width="12.375" style="2" customWidth="1"/>
    <col min="8979" max="8979" width="9.125" style="2" bestFit="1" customWidth="1"/>
    <col min="8980" max="8981" width="9" style="2"/>
    <col min="8982" max="8982" width="4.5" style="2" bestFit="1" customWidth="1"/>
    <col min="8983" max="8983" width="9" style="2"/>
    <col min="8984" max="8984" width="4.5" style="2" bestFit="1" customWidth="1"/>
    <col min="8985" max="8986" width="5.625" style="2" customWidth="1"/>
    <col min="8987" max="8987" width="9" style="2"/>
    <col min="8988" max="8988" width="5.625" style="2" customWidth="1"/>
    <col min="8989" max="8989" width="9" style="2"/>
    <col min="8990" max="8991" width="5.625" style="2" customWidth="1"/>
    <col min="8992" max="8992" width="9" style="2"/>
    <col min="8993" max="8993" width="5.625" style="2" customWidth="1"/>
    <col min="8994" max="8994" width="9" style="2"/>
    <col min="8995" max="8995" width="11.625" style="2" bestFit="1" customWidth="1"/>
    <col min="8996" max="9213" width="9" style="2"/>
    <col min="9214" max="9214" width="14.875" style="2" customWidth="1"/>
    <col min="9215" max="9217" width="3.625" style="2" customWidth="1"/>
    <col min="9218" max="9219" width="12.625" style="2" customWidth="1"/>
    <col min="9220" max="9220" width="7.5" style="2" customWidth="1"/>
    <col min="9221" max="9221" width="12.625" style="2" customWidth="1"/>
    <col min="9222" max="9222" width="6" style="2" customWidth="1"/>
    <col min="9223" max="9232" width="3.875" style="2" customWidth="1"/>
    <col min="9233" max="9233" width="2.5" style="2" customWidth="1"/>
    <col min="9234" max="9234" width="12.375" style="2" customWidth="1"/>
    <col min="9235" max="9235" width="9.125" style="2" bestFit="1" customWidth="1"/>
    <col min="9236" max="9237" width="9" style="2"/>
    <col min="9238" max="9238" width="4.5" style="2" bestFit="1" customWidth="1"/>
    <col min="9239" max="9239" width="9" style="2"/>
    <col min="9240" max="9240" width="4.5" style="2" bestFit="1" customWidth="1"/>
    <col min="9241" max="9242" width="5.625" style="2" customWidth="1"/>
    <col min="9243" max="9243" width="9" style="2"/>
    <col min="9244" max="9244" width="5.625" style="2" customWidth="1"/>
    <col min="9245" max="9245" width="9" style="2"/>
    <col min="9246" max="9247" width="5.625" style="2" customWidth="1"/>
    <col min="9248" max="9248" width="9" style="2"/>
    <col min="9249" max="9249" width="5.625" style="2" customWidth="1"/>
    <col min="9250" max="9250" width="9" style="2"/>
    <col min="9251" max="9251" width="11.625" style="2" bestFit="1" customWidth="1"/>
    <col min="9252" max="9469" width="9" style="2"/>
    <col min="9470" max="9470" width="14.875" style="2" customWidth="1"/>
    <col min="9471" max="9473" width="3.625" style="2" customWidth="1"/>
    <col min="9474" max="9475" width="12.625" style="2" customWidth="1"/>
    <col min="9476" max="9476" width="7.5" style="2" customWidth="1"/>
    <col min="9477" max="9477" width="12.625" style="2" customWidth="1"/>
    <col min="9478" max="9478" width="6" style="2" customWidth="1"/>
    <col min="9479" max="9488" width="3.875" style="2" customWidth="1"/>
    <col min="9489" max="9489" width="2.5" style="2" customWidth="1"/>
    <col min="9490" max="9490" width="12.375" style="2" customWidth="1"/>
    <col min="9491" max="9491" width="9.125" style="2" bestFit="1" customWidth="1"/>
    <col min="9492" max="9493" width="9" style="2"/>
    <col min="9494" max="9494" width="4.5" style="2" bestFit="1" customWidth="1"/>
    <col min="9495" max="9495" width="9" style="2"/>
    <col min="9496" max="9496" width="4.5" style="2" bestFit="1" customWidth="1"/>
    <col min="9497" max="9498" width="5.625" style="2" customWidth="1"/>
    <col min="9499" max="9499" width="9" style="2"/>
    <col min="9500" max="9500" width="5.625" style="2" customWidth="1"/>
    <col min="9501" max="9501" width="9" style="2"/>
    <col min="9502" max="9503" width="5.625" style="2" customWidth="1"/>
    <col min="9504" max="9504" width="9" style="2"/>
    <col min="9505" max="9505" width="5.625" style="2" customWidth="1"/>
    <col min="9506" max="9506" width="9" style="2"/>
    <col min="9507" max="9507" width="11.625" style="2" bestFit="1" customWidth="1"/>
    <col min="9508" max="9725" width="9" style="2"/>
    <col min="9726" max="9726" width="14.875" style="2" customWidth="1"/>
    <col min="9727" max="9729" width="3.625" style="2" customWidth="1"/>
    <col min="9730" max="9731" width="12.625" style="2" customWidth="1"/>
    <col min="9732" max="9732" width="7.5" style="2" customWidth="1"/>
    <col min="9733" max="9733" width="12.625" style="2" customWidth="1"/>
    <col min="9734" max="9734" width="6" style="2" customWidth="1"/>
    <col min="9735" max="9744" width="3.875" style="2" customWidth="1"/>
    <col min="9745" max="9745" width="2.5" style="2" customWidth="1"/>
    <col min="9746" max="9746" width="12.375" style="2" customWidth="1"/>
    <col min="9747" max="9747" width="9.125" style="2" bestFit="1" customWidth="1"/>
    <col min="9748" max="9749" width="9" style="2"/>
    <col min="9750" max="9750" width="4.5" style="2" bestFit="1" customWidth="1"/>
    <col min="9751" max="9751" width="9" style="2"/>
    <col min="9752" max="9752" width="4.5" style="2" bestFit="1" customWidth="1"/>
    <col min="9753" max="9754" width="5.625" style="2" customWidth="1"/>
    <col min="9755" max="9755" width="9" style="2"/>
    <col min="9756" max="9756" width="5.625" style="2" customWidth="1"/>
    <col min="9757" max="9757" width="9" style="2"/>
    <col min="9758" max="9759" width="5.625" style="2" customWidth="1"/>
    <col min="9760" max="9760" width="9" style="2"/>
    <col min="9761" max="9761" width="5.625" style="2" customWidth="1"/>
    <col min="9762" max="9762" width="9" style="2"/>
    <col min="9763" max="9763" width="11.625" style="2" bestFit="1" customWidth="1"/>
    <col min="9764" max="9981" width="9" style="2"/>
    <col min="9982" max="9982" width="14.875" style="2" customWidth="1"/>
    <col min="9983" max="9985" width="3.625" style="2" customWidth="1"/>
    <col min="9986" max="9987" width="12.625" style="2" customWidth="1"/>
    <col min="9988" max="9988" width="7.5" style="2" customWidth="1"/>
    <col min="9989" max="9989" width="12.625" style="2" customWidth="1"/>
    <col min="9990" max="9990" width="6" style="2" customWidth="1"/>
    <col min="9991" max="10000" width="3.875" style="2" customWidth="1"/>
    <col min="10001" max="10001" width="2.5" style="2" customWidth="1"/>
    <col min="10002" max="10002" width="12.375" style="2" customWidth="1"/>
    <col min="10003" max="10003" width="9.125" style="2" bestFit="1" customWidth="1"/>
    <col min="10004" max="10005" width="9" style="2"/>
    <col min="10006" max="10006" width="4.5" style="2" bestFit="1" customWidth="1"/>
    <col min="10007" max="10007" width="9" style="2"/>
    <col min="10008" max="10008" width="4.5" style="2" bestFit="1" customWidth="1"/>
    <col min="10009" max="10010" width="5.625" style="2" customWidth="1"/>
    <col min="10011" max="10011" width="9" style="2"/>
    <col min="10012" max="10012" width="5.625" style="2" customWidth="1"/>
    <col min="10013" max="10013" width="9" style="2"/>
    <col min="10014" max="10015" width="5.625" style="2" customWidth="1"/>
    <col min="10016" max="10016" width="9" style="2"/>
    <col min="10017" max="10017" width="5.625" style="2" customWidth="1"/>
    <col min="10018" max="10018" width="9" style="2"/>
    <col min="10019" max="10019" width="11.625" style="2" bestFit="1" customWidth="1"/>
    <col min="10020" max="10237" width="9" style="2"/>
    <col min="10238" max="10238" width="14.875" style="2" customWidth="1"/>
    <col min="10239" max="10241" width="3.625" style="2" customWidth="1"/>
    <col min="10242" max="10243" width="12.625" style="2" customWidth="1"/>
    <col min="10244" max="10244" width="7.5" style="2" customWidth="1"/>
    <col min="10245" max="10245" width="12.625" style="2" customWidth="1"/>
    <col min="10246" max="10246" width="6" style="2" customWidth="1"/>
    <col min="10247" max="10256" width="3.875" style="2" customWidth="1"/>
    <col min="10257" max="10257" width="2.5" style="2" customWidth="1"/>
    <col min="10258" max="10258" width="12.375" style="2" customWidth="1"/>
    <col min="10259" max="10259" width="9.125" style="2" bestFit="1" customWidth="1"/>
    <col min="10260" max="10261" width="9" style="2"/>
    <col min="10262" max="10262" width="4.5" style="2" bestFit="1" customWidth="1"/>
    <col min="10263" max="10263" width="9" style="2"/>
    <col min="10264" max="10264" width="4.5" style="2" bestFit="1" customWidth="1"/>
    <col min="10265" max="10266" width="5.625" style="2" customWidth="1"/>
    <col min="10267" max="10267" width="9" style="2"/>
    <col min="10268" max="10268" width="5.625" style="2" customWidth="1"/>
    <col min="10269" max="10269" width="9" style="2"/>
    <col min="10270" max="10271" width="5.625" style="2" customWidth="1"/>
    <col min="10272" max="10272" width="9" style="2"/>
    <col min="10273" max="10273" width="5.625" style="2" customWidth="1"/>
    <col min="10274" max="10274" width="9" style="2"/>
    <col min="10275" max="10275" width="11.625" style="2" bestFit="1" customWidth="1"/>
    <col min="10276" max="10493" width="9" style="2"/>
    <col min="10494" max="10494" width="14.875" style="2" customWidth="1"/>
    <col min="10495" max="10497" width="3.625" style="2" customWidth="1"/>
    <col min="10498" max="10499" width="12.625" style="2" customWidth="1"/>
    <col min="10500" max="10500" width="7.5" style="2" customWidth="1"/>
    <col min="10501" max="10501" width="12.625" style="2" customWidth="1"/>
    <col min="10502" max="10502" width="6" style="2" customWidth="1"/>
    <col min="10503" max="10512" width="3.875" style="2" customWidth="1"/>
    <col min="10513" max="10513" width="2.5" style="2" customWidth="1"/>
    <col min="10514" max="10514" width="12.375" style="2" customWidth="1"/>
    <col min="10515" max="10515" width="9.125" style="2" bestFit="1" customWidth="1"/>
    <col min="10516" max="10517" width="9" style="2"/>
    <col min="10518" max="10518" width="4.5" style="2" bestFit="1" customWidth="1"/>
    <col min="10519" max="10519" width="9" style="2"/>
    <col min="10520" max="10520" width="4.5" style="2" bestFit="1" customWidth="1"/>
    <col min="10521" max="10522" width="5.625" style="2" customWidth="1"/>
    <col min="10523" max="10523" width="9" style="2"/>
    <col min="10524" max="10524" width="5.625" style="2" customWidth="1"/>
    <col min="10525" max="10525" width="9" style="2"/>
    <col min="10526" max="10527" width="5.625" style="2" customWidth="1"/>
    <col min="10528" max="10528" width="9" style="2"/>
    <col min="10529" max="10529" width="5.625" style="2" customWidth="1"/>
    <col min="10530" max="10530" width="9" style="2"/>
    <col min="10531" max="10531" width="11.625" style="2" bestFit="1" customWidth="1"/>
    <col min="10532" max="10749" width="9" style="2"/>
    <col min="10750" max="10750" width="14.875" style="2" customWidth="1"/>
    <col min="10751" max="10753" width="3.625" style="2" customWidth="1"/>
    <col min="10754" max="10755" width="12.625" style="2" customWidth="1"/>
    <col min="10756" max="10756" width="7.5" style="2" customWidth="1"/>
    <col min="10757" max="10757" width="12.625" style="2" customWidth="1"/>
    <col min="10758" max="10758" width="6" style="2" customWidth="1"/>
    <col min="10759" max="10768" width="3.875" style="2" customWidth="1"/>
    <col min="10769" max="10769" width="2.5" style="2" customWidth="1"/>
    <col min="10770" max="10770" width="12.375" style="2" customWidth="1"/>
    <col min="10771" max="10771" width="9.125" style="2" bestFit="1" customWidth="1"/>
    <col min="10772" max="10773" width="9" style="2"/>
    <col min="10774" max="10774" width="4.5" style="2" bestFit="1" customWidth="1"/>
    <col min="10775" max="10775" width="9" style="2"/>
    <col min="10776" max="10776" width="4.5" style="2" bestFit="1" customWidth="1"/>
    <col min="10777" max="10778" width="5.625" style="2" customWidth="1"/>
    <col min="10779" max="10779" width="9" style="2"/>
    <col min="10780" max="10780" width="5.625" style="2" customWidth="1"/>
    <col min="10781" max="10781" width="9" style="2"/>
    <col min="10782" max="10783" width="5.625" style="2" customWidth="1"/>
    <col min="10784" max="10784" width="9" style="2"/>
    <col min="10785" max="10785" width="5.625" style="2" customWidth="1"/>
    <col min="10786" max="10786" width="9" style="2"/>
    <col min="10787" max="10787" width="11.625" style="2" bestFit="1" customWidth="1"/>
    <col min="10788" max="11005" width="9" style="2"/>
    <col min="11006" max="11006" width="14.875" style="2" customWidth="1"/>
    <col min="11007" max="11009" width="3.625" style="2" customWidth="1"/>
    <col min="11010" max="11011" width="12.625" style="2" customWidth="1"/>
    <col min="11012" max="11012" width="7.5" style="2" customWidth="1"/>
    <col min="11013" max="11013" width="12.625" style="2" customWidth="1"/>
    <col min="11014" max="11014" width="6" style="2" customWidth="1"/>
    <col min="11015" max="11024" width="3.875" style="2" customWidth="1"/>
    <col min="11025" max="11025" width="2.5" style="2" customWidth="1"/>
    <col min="11026" max="11026" width="12.375" style="2" customWidth="1"/>
    <col min="11027" max="11027" width="9.125" style="2" bestFit="1" customWidth="1"/>
    <col min="11028" max="11029" width="9" style="2"/>
    <col min="11030" max="11030" width="4.5" style="2" bestFit="1" customWidth="1"/>
    <col min="11031" max="11031" width="9" style="2"/>
    <col min="11032" max="11032" width="4.5" style="2" bestFit="1" customWidth="1"/>
    <col min="11033" max="11034" width="5.625" style="2" customWidth="1"/>
    <col min="11035" max="11035" width="9" style="2"/>
    <col min="11036" max="11036" width="5.625" style="2" customWidth="1"/>
    <col min="11037" max="11037" width="9" style="2"/>
    <col min="11038" max="11039" width="5.625" style="2" customWidth="1"/>
    <col min="11040" max="11040" width="9" style="2"/>
    <col min="11041" max="11041" width="5.625" style="2" customWidth="1"/>
    <col min="11042" max="11042" width="9" style="2"/>
    <col min="11043" max="11043" width="11.625" style="2" bestFit="1" customWidth="1"/>
    <col min="11044" max="11261" width="9" style="2"/>
    <col min="11262" max="11262" width="14.875" style="2" customWidth="1"/>
    <col min="11263" max="11265" width="3.625" style="2" customWidth="1"/>
    <col min="11266" max="11267" width="12.625" style="2" customWidth="1"/>
    <col min="11268" max="11268" width="7.5" style="2" customWidth="1"/>
    <col min="11269" max="11269" width="12.625" style="2" customWidth="1"/>
    <col min="11270" max="11270" width="6" style="2" customWidth="1"/>
    <col min="11271" max="11280" width="3.875" style="2" customWidth="1"/>
    <col min="11281" max="11281" width="2.5" style="2" customWidth="1"/>
    <col min="11282" max="11282" width="12.375" style="2" customWidth="1"/>
    <col min="11283" max="11283" width="9.125" style="2" bestFit="1" customWidth="1"/>
    <col min="11284" max="11285" width="9" style="2"/>
    <col min="11286" max="11286" width="4.5" style="2" bestFit="1" customWidth="1"/>
    <col min="11287" max="11287" width="9" style="2"/>
    <col min="11288" max="11288" width="4.5" style="2" bestFit="1" customWidth="1"/>
    <col min="11289" max="11290" width="5.625" style="2" customWidth="1"/>
    <col min="11291" max="11291" width="9" style="2"/>
    <col min="11292" max="11292" width="5.625" style="2" customWidth="1"/>
    <col min="11293" max="11293" width="9" style="2"/>
    <col min="11294" max="11295" width="5.625" style="2" customWidth="1"/>
    <col min="11296" max="11296" width="9" style="2"/>
    <col min="11297" max="11297" width="5.625" style="2" customWidth="1"/>
    <col min="11298" max="11298" width="9" style="2"/>
    <col min="11299" max="11299" width="11.625" style="2" bestFit="1" customWidth="1"/>
    <col min="11300" max="11517" width="9" style="2"/>
    <col min="11518" max="11518" width="14.875" style="2" customWidth="1"/>
    <col min="11519" max="11521" width="3.625" style="2" customWidth="1"/>
    <col min="11522" max="11523" width="12.625" style="2" customWidth="1"/>
    <col min="11524" max="11524" width="7.5" style="2" customWidth="1"/>
    <col min="11525" max="11525" width="12.625" style="2" customWidth="1"/>
    <col min="11526" max="11526" width="6" style="2" customWidth="1"/>
    <col min="11527" max="11536" width="3.875" style="2" customWidth="1"/>
    <col min="11537" max="11537" width="2.5" style="2" customWidth="1"/>
    <col min="11538" max="11538" width="12.375" style="2" customWidth="1"/>
    <col min="11539" max="11539" width="9.125" style="2" bestFit="1" customWidth="1"/>
    <col min="11540" max="11541" width="9" style="2"/>
    <col min="11542" max="11542" width="4.5" style="2" bestFit="1" customWidth="1"/>
    <col min="11543" max="11543" width="9" style="2"/>
    <col min="11544" max="11544" width="4.5" style="2" bestFit="1" customWidth="1"/>
    <col min="11545" max="11546" width="5.625" style="2" customWidth="1"/>
    <col min="11547" max="11547" width="9" style="2"/>
    <col min="11548" max="11548" width="5.625" style="2" customWidth="1"/>
    <col min="11549" max="11549" width="9" style="2"/>
    <col min="11550" max="11551" width="5.625" style="2" customWidth="1"/>
    <col min="11552" max="11552" width="9" style="2"/>
    <col min="11553" max="11553" width="5.625" style="2" customWidth="1"/>
    <col min="11554" max="11554" width="9" style="2"/>
    <col min="11555" max="11555" width="11.625" style="2" bestFit="1" customWidth="1"/>
    <col min="11556" max="11773" width="9" style="2"/>
    <col min="11774" max="11774" width="14.875" style="2" customWidth="1"/>
    <col min="11775" max="11777" width="3.625" style="2" customWidth="1"/>
    <col min="11778" max="11779" width="12.625" style="2" customWidth="1"/>
    <col min="11780" max="11780" width="7.5" style="2" customWidth="1"/>
    <col min="11781" max="11781" width="12.625" style="2" customWidth="1"/>
    <col min="11782" max="11782" width="6" style="2" customWidth="1"/>
    <col min="11783" max="11792" width="3.875" style="2" customWidth="1"/>
    <col min="11793" max="11793" width="2.5" style="2" customWidth="1"/>
    <col min="11794" max="11794" width="12.375" style="2" customWidth="1"/>
    <col min="11795" max="11795" width="9.125" style="2" bestFit="1" customWidth="1"/>
    <col min="11796" max="11797" width="9" style="2"/>
    <col min="11798" max="11798" width="4.5" style="2" bestFit="1" customWidth="1"/>
    <col min="11799" max="11799" width="9" style="2"/>
    <col min="11800" max="11800" width="4.5" style="2" bestFit="1" customWidth="1"/>
    <col min="11801" max="11802" width="5.625" style="2" customWidth="1"/>
    <col min="11803" max="11803" width="9" style="2"/>
    <col min="11804" max="11804" width="5.625" style="2" customWidth="1"/>
    <col min="11805" max="11805" width="9" style="2"/>
    <col min="11806" max="11807" width="5.625" style="2" customWidth="1"/>
    <col min="11808" max="11808" width="9" style="2"/>
    <col min="11809" max="11809" width="5.625" style="2" customWidth="1"/>
    <col min="11810" max="11810" width="9" style="2"/>
    <col min="11811" max="11811" width="11.625" style="2" bestFit="1" customWidth="1"/>
    <col min="11812" max="12029" width="9" style="2"/>
    <col min="12030" max="12030" width="14.875" style="2" customWidth="1"/>
    <col min="12031" max="12033" width="3.625" style="2" customWidth="1"/>
    <col min="12034" max="12035" width="12.625" style="2" customWidth="1"/>
    <col min="12036" max="12036" width="7.5" style="2" customWidth="1"/>
    <col min="12037" max="12037" width="12.625" style="2" customWidth="1"/>
    <col min="12038" max="12038" width="6" style="2" customWidth="1"/>
    <col min="12039" max="12048" width="3.875" style="2" customWidth="1"/>
    <col min="12049" max="12049" width="2.5" style="2" customWidth="1"/>
    <col min="12050" max="12050" width="12.375" style="2" customWidth="1"/>
    <col min="12051" max="12051" width="9.125" style="2" bestFit="1" customWidth="1"/>
    <col min="12052" max="12053" width="9" style="2"/>
    <col min="12054" max="12054" width="4.5" style="2" bestFit="1" customWidth="1"/>
    <col min="12055" max="12055" width="9" style="2"/>
    <col min="12056" max="12056" width="4.5" style="2" bestFit="1" customWidth="1"/>
    <col min="12057" max="12058" width="5.625" style="2" customWidth="1"/>
    <col min="12059" max="12059" width="9" style="2"/>
    <col min="12060" max="12060" width="5.625" style="2" customWidth="1"/>
    <col min="12061" max="12061" width="9" style="2"/>
    <col min="12062" max="12063" width="5.625" style="2" customWidth="1"/>
    <col min="12064" max="12064" width="9" style="2"/>
    <col min="12065" max="12065" width="5.625" style="2" customWidth="1"/>
    <col min="12066" max="12066" width="9" style="2"/>
    <col min="12067" max="12067" width="11.625" style="2" bestFit="1" customWidth="1"/>
    <col min="12068" max="12285" width="9" style="2"/>
    <col min="12286" max="12286" width="14.875" style="2" customWidth="1"/>
    <col min="12287" max="12289" width="3.625" style="2" customWidth="1"/>
    <col min="12290" max="12291" width="12.625" style="2" customWidth="1"/>
    <col min="12292" max="12292" width="7.5" style="2" customWidth="1"/>
    <col min="12293" max="12293" width="12.625" style="2" customWidth="1"/>
    <col min="12294" max="12294" width="6" style="2" customWidth="1"/>
    <col min="12295" max="12304" width="3.875" style="2" customWidth="1"/>
    <col min="12305" max="12305" width="2.5" style="2" customWidth="1"/>
    <col min="12306" max="12306" width="12.375" style="2" customWidth="1"/>
    <col min="12307" max="12307" width="9.125" style="2" bestFit="1" customWidth="1"/>
    <col min="12308" max="12309" width="9" style="2"/>
    <col min="12310" max="12310" width="4.5" style="2" bestFit="1" customWidth="1"/>
    <col min="12311" max="12311" width="9" style="2"/>
    <col min="12312" max="12312" width="4.5" style="2" bestFit="1" customWidth="1"/>
    <col min="12313" max="12314" width="5.625" style="2" customWidth="1"/>
    <col min="12315" max="12315" width="9" style="2"/>
    <col min="12316" max="12316" width="5.625" style="2" customWidth="1"/>
    <col min="12317" max="12317" width="9" style="2"/>
    <col min="12318" max="12319" width="5.625" style="2" customWidth="1"/>
    <col min="12320" max="12320" width="9" style="2"/>
    <col min="12321" max="12321" width="5.625" style="2" customWidth="1"/>
    <col min="12322" max="12322" width="9" style="2"/>
    <col min="12323" max="12323" width="11.625" style="2" bestFit="1" customWidth="1"/>
    <col min="12324" max="12541" width="9" style="2"/>
    <col min="12542" max="12542" width="14.875" style="2" customWidth="1"/>
    <col min="12543" max="12545" width="3.625" style="2" customWidth="1"/>
    <col min="12546" max="12547" width="12.625" style="2" customWidth="1"/>
    <col min="12548" max="12548" width="7.5" style="2" customWidth="1"/>
    <col min="12549" max="12549" width="12.625" style="2" customWidth="1"/>
    <col min="12550" max="12550" width="6" style="2" customWidth="1"/>
    <col min="12551" max="12560" width="3.875" style="2" customWidth="1"/>
    <col min="12561" max="12561" width="2.5" style="2" customWidth="1"/>
    <col min="12562" max="12562" width="12.375" style="2" customWidth="1"/>
    <col min="12563" max="12563" width="9.125" style="2" bestFit="1" customWidth="1"/>
    <col min="12564" max="12565" width="9" style="2"/>
    <col min="12566" max="12566" width="4.5" style="2" bestFit="1" customWidth="1"/>
    <col min="12567" max="12567" width="9" style="2"/>
    <col min="12568" max="12568" width="4.5" style="2" bestFit="1" customWidth="1"/>
    <col min="12569" max="12570" width="5.625" style="2" customWidth="1"/>
    <col min="12571" max="12571" width="9" style="2"/>
    <col min="12572" max="12572" width="5.625" style="2" customWidth="1"/>
    <col min="12573" max="12573" width="9" style="2"/>
    <col min="12574" max="12575" width="5.625" style="2" customWidth="1"/>
    <col min="12576" max="12576" width="9" style="2"/>
    <col min="12577" max="12577" width="5.625" style="2" customWidth="1"/>
    <col min="12578" max="12578" width="9" style="2"/>
    <col min="12579" max="12579" width="11.625" style="2" bestFit="1" customWidth="1"/>
    <col min="12580" max="12797" width="9" style="2"/>
    <col min="12798" max="12798" width="14.875" style="2" customWidth="1"/>
    <col min="12799" max="12801" width="3.625" style="2" customWidth="1"/>
    <col min="12802" max="12803" width="12.625" style="2" customWidth="1"/>
    <col min="12804" max="12804" width="7.5" style="2" customWidth="1"/>
    <col min="12805" max="12805" width="12.625" style="2" customWidth="1"/>
    <col min="12806" max="12806" width="6" style="2" customWidth="1"/>
    <col min="12807" max="12816" width="3.875" style="2" customWidth="1"/>
    <col min="12817" max="12817" width="2.5" style="2" customWidth="1"/>
    <col min="12818" max="12818" width="12.375" style="2" customWidth="1"/>
    <col min="12819" max="12819" width="9.125" style="2" bestFit="1" customWidth="1"/>
    <col min="12820" max="12821" width="9" style="2"/>
    <col min="12822" max="12822" width="4.5" style="2" bestFit="1" customWidth="1"/>
    <col min="12823" max="12823" width="9" style="2"/>
    <col min="12824" max="12824" width="4.5" style="2" bestFit="1" customWidth="1"/>
    <col min="12825" max="12826" width="5.625" style="2" customWidth="1"/>
    <col min="12827" max="12827" width="9" style="2"/>
    <col min="12828" max="12828" width="5.625" style="2" customWidth="1"/>
    <col min="12829" max="12829" width="9" style="2"/>
    <col min="12830" max="12831" width="5.625" style="2" customWidth="1"/>
    <col min="12832" max="12832" width="9" style="2"/>
    <col min="12833" max="12833" width="5.625" style="2" customWidth="1"/>
    <col min="12834" max="12834" width="9" style="2"/>
    <col min="12835" max="12835" width="11.625" style="2" bestFit="1" customWidth="1"/>
    <col min="12836" max="13053" width="9" style="2"/>
    <col min="13054" max="13054" width="14.875" style="2" customWidth="1"/>
    <col min="13055" max="13057" width="3.625" style="2" customWidth="1"/>
    <col min="13058" max="13059" width="12.625" style="2" customWidth="1"/>
    <col min="13060" max="13060" width="7.5" style="2" customWidth="1"/>
    <col min="13061" max="13061" width="12.625" style="2" customWidth="1"/>
    <col min="13062" max="13062" width="6" style="2" customWidth="1"/>
    <col min="13063" max="13072" width="3.875" style="2" customWidth="1"/>
    <col min="13073" max="13073" width="2.5" style="2" customWidth="1"/>
    <col min="13074" max="13074" width="12.375" style="2" customWidth="1"/>
    <col min="13075" max="13075" width="9.125" style="2" bestFit="1" customWidth="1"/>
    <col min="13076" max="13077" width="9" style="2"/>
    <col min="13078" max="13078" width="4.5" style="2" bestFit="1" customWidth="1"/>
    <col min="13079" max="13079" width="9" style="2"/>
    <col min="13080" max="13080" width="4.5" style="2" bestFit="1" customWidth="1"/>
    <col min="13081" max="13082" width="5.625" style="2" customWidth="1"/>
    <col min="13083" max="13083" width="9" style="2"/>
    <col min="13084" max="13084" width="5.625" style="2" customWidth="1"/>
    <col min="13085" max="13085" width="9" style="2"/>
    <col min="13086" max="13087" width="5.625" style="2" customWidth="1"/>
    <col min="13088" max="13088" width="9" style="2"/>
    <col min="13089" max="13089" width="5.625" style="2" customWidth="1"/>
    <col min="13090" max="13090" width="9" style="2"/>
    <col min="13091" max="13091" width="11.625" style="2" bestFit="1" customWidth="1"/>
    <col min="13092" max="13309" width="9" style="2"/>
    <col min="13310" max="13310" width="14.875" style="2" customWidth="1"/>
    <col min="13311" max="13313" width="3.625" style="2" customWidth="1"/>
    <col min="13314" max="13315" width="12.625" style="2" customWidth="1"/>
    <col min="13316" max="13316" width="7.5" style="2" customWidth="1"/>
    <col min="13317" max="13317" width="12.625" style="2" customWidth="1"/>
    <col min="13318" max="13318" width="6" style="2" customWidth="1"/>
    <col min="13319" max="13328" width="3.875" style="2" customWidth="1"/>
    <col min="13329" max="13329" width="2.5" style="2" customWidth="1"/>
    <col min="13330" max="13330" width="12.375" style="2" customWidth="1"/>
    <col min="13331" max="13331" width="9.125" style="2" bestFit="1" customWidth="1"/>
    <col min="13332" max="13333" width="9" style="2"/>
    <col min="13334" max="13334" width="4.5" style="2" bestFit="1" customWidth="1"/>
    <col min="13335" max="13335" width="9" style="2"/>
    <col min="13336" max="13336" width="4.5" style="2" bestFit="1" customWidth="1"/>
    <col min="13337" max="13338" width="5.625" style="2" customWidth="1"/>
    <col min="13339" max="13339" width="9" style="2"/>
    <col min="13340" max="13340" width="5.625" style="2" customWidth="1"/>
    <col min="13341" max="13341" width="9" style="2"/>
    <col min="13342" max="13343" width="5.625" style="2" customWidth="1"/>
    <col min="13344" max="13344" width="9" style="2"/>
    <col min="13345" max="13345" width="5.625" style="2" customWidth="1"/>
    <col min="13346" max="13346" width="9" style="2"/>
    <col min="13347" max="13347" width="11.625" style="2" bestFit="1" customWidth="1"/>
    <col min="13348" max="13565" width="9" style="2"/>
    <col min="13566" max="13566" width="14.875" style="2" customWidth="1"/>
    <col min="13567" max="13569" width="3.625" style="2" customWidth="1"/>
    <col min="13570" max="13571" width="12.625" style="2" customWidth="1"/>
    <col min="13572" max="13572" width="7.5" style="2" customWidth="1"/>
    <col min="13573" max="13573" width="12.625" style="2" customWidth="1"/>
    <col min="13574" max="13574" width="6" style="2" customWidth="1"/>
    <col min="13575" max="13584" width="3.875" style="2" customWidth="1"/>
    <col min="13585" max="13585" width="2.5" style="2" customWidth="1"/>
    <col min="13586" max="13586" width="12.375" style="2" customWidth="1"/>
    <col min="13587" max="13587" width="9.125" style="2" bestFit="1" customWidth="1"/>
    <col min="13588" max="13589" width="9" style="2"/>
    <col min="13590" max="13590" width="4.5" style="2" bestFit="1" customWidth="1"/>
    <col min="13591" max="13591" width="9" style="2"/>
    <col min="13592" max="13592" width="4.5" style="2" bestFit="1" customWidth="1"/>
    <col min="13593" max="13594" width="5.625" style="2" customWidth="1"/>
    <col min="13595" max="13595" width="9" style="2"/>
    <col min="13596" max="13596" width="5.625" style="2" customWidth="1"/>
    <col min="13597" max="13597" width="9" style="2"/>
    <col min="13598" max="13599" width="5.625" style="2" customWidth="1"/>
    <col min="13600" max="13600" width="9" style="2"/>
    <col min="13601" max="13601" width="5.625" style="2" customWidth="1"/>
    <col min="13602" max="13602" width="9" style="2"/>
    <col min="13603" max="13603" width="11.625" style="2" bestFit="1" customWidth="1"/>
    <col min="13604" max="13821" width="9" style="2"/>
    <col min="13822" max="13822" width="14.875" style="2" customWidth="1"/>
    <col min="13823" max="13825" width="3.625" style="2" customWidth="1"/>
    <col min="13826" max="13827" width="12.625" style="2" customWidth="1"/>
    <col min="13828" max="13828" width="7.5" style="2" customWidth="1"/>
    <col min="13829" max="13829" width="12.625" style="2" customWidth="1"/>
    <col min="13830" max="13830" width="6" style="2" customWidth="1"/>
    <col min="13831" max="13840" width="3.875" style="2" customWidth="1"/>
    <col min="13841" max="13841" width="2.5" style="2" customWidth="1"/>
    <col min="13842" max="13842" width="12.375" style="2" customWidth="1"/>
    <col min="13843" max="13843" width="9.125" style="2" bestFit="1" customWidth="1"/>
    <col min="13844" max="13845" width="9" style="2"/>
    <col min="13846" max="13846" width="4.5" style="2" bestFit="1" customWidth="1"/>
    <col min="13847" max="13847" width="9" style="2"/>
    <col min="13848" max="13848" width="4.5" style="2" bestFit="1" customWidth="1"/>
    <col min="13849" max="13850" width="5.625" style="2" customWidth="1"/>
    <col min="13851" max="13851" width="9" style="2"/>
    <col min="13852" max="13852" width="5.625" style="2" customWidth="1"/>
    <col min="13853" max="13853" width="9" style="2"/>
    <col min="13854" max="13855" width="5.625" style="2" customWidth="1"/>
    <col min="13856" max="13856" width="9" style="2"/>
    <col min="13857" max="13857" width="5.625" style="2" customWidth="1"/>
    <col min="13858" max="13858" width="9" style="2"/>
    <col min="13859" max="13859" width="11.625" style="2" bestFit="1" customWidth="1"/>
    <col min="13860" max="14077" width="9" style="2"/>
    <col min="14078" max="14078" width="14.875" style="2" customWidth="1"/>
    <col min="14079" max="14081" width="3.625" style="2" customWidth="1"/>
    <col min="14082" max="14083" width="12.625" style="2" customWidth="1"/>
    <col min="14084" max="14084" width="7.5" style="2" customWidth="1"/>
    <col min="14085" max="14085" width="12.625" style="2" customWidth="1"/>
    <col min="14086" max="14086" width="6" style="2" customWidth="1"/>
    <col min="14087" max="14096" width="3.875" style="2" customWidth="1"/>
    <col min="14097" max="14097" width="2.5" style="2" customWidth="1"/>
    <col min="14098" max="14098" width="12.375" style="2" customWidth="1"/>
    <col min="14099" max="14099" width="9.125" style="2" bestFit="1" customWidth="1"/>
    <col min="14100" max="14101" width="9" style="2"/>
    <col min="14102" max="14102" width="4.5" style="2" bestFit="1" customWidth="1"/>
    <col min="14103" max="14103" width="9" style="2"/>
    <col min="14104" max="14104" width="4.5" style="2" bestFit="1" customWidth="1"/>
    <col min="14105" max="14106" width="5.625" style="2" customWidth="1"/>
    <col min="14107" max="14107" width="9" style="2"/>
    <col min="14108" max="14108" width="5.625" style="2" customWidth="1"/>
    <col min="14109" max="14109" width="9" style="2"/>
    <col min="14110" max="14111" width="5.625" style="2" customWidth="1"/>
    <col min="14112" max="14112" width="9" style="2"/>
    <col min="14113" max="14113" width="5.625" style="2" customWidth="1"/>
    <col min="14114" max="14114" width="9" style="2"/>
    <col min="14115" max="14115" width="11.625" style="2" bestFit="1" customWidth="1"/>
    <col min="14116" max="14333" width="9" style="2"/>
    <col min="14334" max="14334" width="14.875" style="2" customWidth="1"/>
    <col min="14335" max="14337" width="3.625" style="2" customWidth="1"/>
    <col min="14338" max="14339" width="12.625" style="2" customWidth="1"/>
    <col min="14340" max="14340" width="7.5" style="2" customWidth="1"/>
    <col min="14341" max="14341" width="12.625" style="2" customWidth="1"/>
    <col min="14342" max="14342" width="6" style="2" customWidth="1"/>
    <col min="14343" max="14352" width="3.875" style="2" customWidth="1"/>
    <col min="14353" max="14353" width="2.5" style="2" customWidth="1"/>
    <col min="14354" max="14354" width="12.375" style="2" customWidth="1"/>
    <col min="14355" max="14355" width="9.125" style="2" bestFit="1" customWidth="1"/>
    <col min="14356" max="14357" width="9" style="2"/>
    <col min="14358" max="14358" width="4.5" style="2" bestFit="1" customWidth="1"/>
    <col min="14359" max="14359" width="9" style="2"/>
    <col min="14360" max="14360" width="4.5" style="2" bestFit="1" customWidth="1"/>
    <col min="14361" max="14362" width="5.625" style="2" customWidth="1"/>
    <col min="14363" max="14363" width="9" style="2"/>
    <col min="14364" max="14364" width="5.625" style="2" customWidth="1"/>
    <col min="14365" max="14365" width="9" style="2"/>
    <col min="14366" max="14367" width="5.625" style="2" customWidth="1"/>
    <col min="14368" max="14368" width="9" style="2"/>
    <col min="14369" max="14369" width="5.625" style="2" customWidth="1"/>
    <col min="14370" max="14370" width="9" style="2"/>
    <col min="14371" max="14371" width="11.625" style="2" bestFit="1" customWidth="1"/>
    <col min="14372" max="14589" width="9" style="2"/>
    <col min="14590" max="14590" width="14.875" style="2" customWidth="1"/>
    <col min="14591" max="14593" width="3.625" style="2" customWidth="1"/>
    <col min="14594" max="14595" width="12.625" style="2" customWidth="1"/>
    <col min="14596" max="14596" width="7.5" style="2" customWidth="1"/>
    <col min="14597" max="14597" width="12.625" style="2" customWidth="1"/>
    <col min="14598" max="14598" width="6" style="2" customWidth="1"/>
    <col min="14599" max="14608" width="3.875" style="2" customWidth="1"/>
    <col min="14609" max="14609" width="2.5" style="2" customWidth="1"/>
    <col min="14610" max="14610" width="12.375" style="2" customWidth="1"/>
    <col min="14611" max="14611" width="9.125" style="2" bestFit="1" customWidth="1"/>
    <col min="14612" max="14613" width="9" style="2"/>
    <col min="14614" max="14614" width="4.5" style="2" bestFit="1" customWidth="1"/>
    <col min="14615" max="14615" width="9" style="2"/>
    <col min="14616" max="14616" width="4.5" style="2" bestFit="1" customWidth="1"/>
    <col min="14617" max="14618" width="5.625" style="2" customWidth="1"/>
    <col min="14619" max="14619" width="9" style="2"/>
    <col min="14620" max="14620" width="5.625" style="2" customWidth="1"/>
    <col min="14621" max="14621" width="9" style="2"/>
    <col min="14622" max="14623" width="5.625" style="2" customWidth="1"/>
    <col min="14624" max="14624" width="9" style="2"/>
    <col min="14625" max="14625" width="5.625" style="2" customWidth="1"/>
    <col min="14626" max="14626" width="9" style="2"/>
    <col min="14627" max="14627" width="11.625" style="2" bestFit="1" customWidth="1"/>
    <col min="14628" max="14845" width="9" style="2"/>
    <col min="14846" max="14846" width="14.875" style="2" customWidth="1"/>
    <col min="14847" max="14849" width="3.625" style="2" customWidth="1"/>
    <col min="14850" max="14851" width="12.625" style="2" customWidth="1"/>
    <col min="14852" max="14852" width="7.5" style="2" customWidth="1"/>
    <col min="14853" max="14853" width="12.625" style="2" customWidth="1"/>
    <col min="14854" max="14854" width="6" style="2" customWidth="1"/>
    <col min="14855" max="14864" width="3.875" style="2" customWidth="1"/>
    <col min="14865" max="14865" width="2.5" style="2" customWidth="1"/>
    <col min="14866" max="14866" width="12.375" style="2" customWidth="1"/>
    <col min="14867" max="14867" width="9.125" style="2" bestFit="1" customWidth="1"/>
    <col min="14868" max="14869" width="9" style="2"/>
    <col min="14870" max="14870" width="4.5" style="2" bestFit="1" customWidth="1"/>
    <col min="14871" max="14871" width="9" style="2"/>
    <col min="14872" max="14872" width="4.5" style="2" bestFit="1" customWidth="1"/>
    <col min="14873" max="14874" width="5.625" style="2" customWidth="1"/>
    <col min="14875" max="14875" width="9" style="2"/>
    <col min="14876" max="14876" width="5.625" style="2" customWidth="1"/>
    <col min="14877" max="14877" width="9" style="2"/>
    <col min="14878" max="14879" width="5.625" style="2" customWidth="1"/>
    <col min="14880" max="14880" width="9" style="2"/>
    <col min="14881" max="14881" width="5.625" style="2" customWidth="1"/>
    <col min="14882" max="14882" width="9" style="2"/>
    <col min="14883" max="14883" width="11.625" style="2" bestFit="1" customWidth="1"/>
    <col min="14884" max="15101" width="9" style="2"/>
    <col min="15102" max="15102" width="14.875" style="2" customWidth="1"/>
    <col min="15103" max="15105" width="3.625" style="2" customWidth="1"/>
    <col min="15106" max="15107" width="12.625" style="2" customWidth="1"/>
    <col min="15108" max="15108" width="7.5" style="2" customWidth="1"/>
    <col min="15109" max="15109" width="12.625" style="2" customWidth="1"/>
    <col min="15110" max="15110" width="6" style="2" customWidth="1"/>
    <col min="15111" max="15120" width="3.875" style="2" customWidth="1"/>
    <col min="15121" max="15121" width="2.5" style="2" customWidth="1"/>
    <col min="15122" max="15122" width="12.375" style="2" customWidth="1"/>
    <col min="15123" max="15123" width="9.125" style="2" bestFit="1" customWidth="1"/>
    <col min="15124" max="15125" width="9" style="2"/>
    <col min="15126" max="15126" width="4.5" style="2" bestFit="1" customWidth="1"/>
    <col min="15127" max="15127" width="9" style="2"/>
    <col min="15128" max="15128" width="4.5" style="2" bestFit="1" customWidth="1"/>
    <col min="15129" max="15130" width="5.625" style="2" customWidth="1"/>
    <col min="15131" max="15131" width="9" style="2"/>
    <col min="15132" max="15132" width="5.625" style="2" customWidth="1"/>
    <col min="15133" max="15133" width="9" style="2"/>
    <col min="15134" max="15135" width="5.625" style="2" customWidth="1"/>
    <col min="15136" max="15136" width="9" style="2"/>
    <col min="15137" max="15137" width="5.625" style="2" customWidth="1"/>
    <col min="15138" max="15138" width="9" style="2"/>
    <col min="15139" max="15139" width="11.625" style="2" bestFit="1" customWidth="1"/>
    <col min="15140" max="15357" width="9" style="2"/>
    <col min="15358" max="15358" width="14.875" style="2" customWidth="1"/>
    <col min="15359" max="15361" width="3.625" style="2" customWidth="1"/>
    <col min="15362" max="15363" width="12.625" style="2" customWidth="1"/>
    <col min="15364" max="15364" width="7.5" style="2" customWidth="1"/>
    <col min="15365" max="15365" width="12.625" style="2" customWidth="1"/>
    <col min="15366" max="15366" width="6" style="2" customWidth="1"/>
    <col min="15367" max="15376" width="3.875" style="2" customWidth="1"/>
    <col min="15377" max="15377" width="2.5" style="2" customWidth="1"/>
    <col min="15378" max="15378" width="12.375" style="2" customWidth="1"/>
    <col min="15379" max="15379" width="9.125" style="2" bestFit="1" customWidth="1"/>
    <col min="15380" max="15381" width="9" style="2"/>
    <col min="15382" max="15382" width="4.5" style="2" bestFit="1" customWidth="1"/>
    <col min="15383" max="15383" width="9" style="2"/>
    <col min="15384" max="15384" width="4.5" style="2" bestFit="1" customWidth="1"/>
    <col min="15385" max="15386" width="5.625" style="2" customWidth="1"/>
    <col min="15387" max="15387" width="9" style="2"/>
    <col min="15388" max="15388" width="5.625" style="2" customWidth="1"/>
    <col min="15389" max="15389" width="9" style="2"/>
    <col min="15390" max="15391" width="5.625" style="2" customWidth="1"/>
    <col min="15392" max="15392" width="9" style="2"/>
    <col min="15393" max="15393" width="5.625" style="2" customWidth="1"/>
    <col min="15394" max="15394" width="9" style="2"/>
    <col min="15395" max="15395" width="11.625" style="2" bestFit="1" customWidth="1"/>
    <col min="15396" max="15613" width="9" style="2"/>
    <col min="15614" max="15614" width="14.875" style="2" customWidth="1"/>
    <col min="15615" max="15617" width="3.625" style="2" customWidth="1"/>
    <col min="15618" max="15619" width="12.625" style="2" customWidth="1"/>
    <col min="15620" max="15620" width="7.5" style="2" customWidth="1"/>
    <col min="15621" max="15621" width="12.625" style="2" customWidth="1"/>
    <col min="15622" max="15622" width="6" style="2" customWidth="1"/>
    <col min="15623" max="15632" width="3.875" style="2" customWidth="1"/>
    <col min="15633" max="15633" width="2.5" style="2" customWidth="1"/>
    <col min="15634" max="15634" width="12.375" style="2" customWidth="1"/>
    <col min="15635" max="15635" width="9.125" style="2" bestFit="1" customWidth="1"/>
    <col min="15636" max="15637" width="9" style="2"/>
    <col min="15638" max="15638" width="4.5" style="2" bestFit="1" customWidth="1"/>
    <col min="15639" max="15639" width="9" style="2"/>
    <col min="15640" max="15640" width="4.5" style="2" bestFit="1" customWidth="1"/>
    <col min="15641" max="15642" width="5.625" style="2" customWidth="1"/>
    <col min="15643" max="15643" width="9" style="2"/>
    <col min="15644" max="15644" width="5.625" style="2" customWidth="1"/>
    <col min="15645" max="15645" width="9" style="2"/>
    <col min="15646" max="15647" width="5.625" style="2" customWidth="1"/>
    <col min="15648" max="15648" width="9" style="2"/>
    <col min="15649" max="15649" width="5.625" style="2" customWidth="1"/>
    <col min="15650" max="15650" width="9" style="2"/>
    <col min="15651" max="15651" width="11.625" style="2" bestFit="1" customWidth="1"/>
    <col min="15652" max="15869" width="9" style="2"/>
    <col min="15870" max="15870" width="14.875" style="2" customWidth="1"/>
    <col min="15871" max="15873" width="3.625" style="2" customWidth="1"/>
    <col min="15874" max="15875" width="12.625" style="2" customWidth="1"/>
    <col min="15876" max="15876" width="7.5" style="2" customWidth="1"/>
    <col min="15877" max="15877" width="12.625" style="2" customWidth="1"/>
    <col min="15878" max="15878" width="6" style="2" customWidth="1"/>
    <col min="15879" max="15888" width="3.875" style="2" customWidth="1"/>
    <col min="15889" max="15889" width="2.5" style="2" customWidth="1"/>
    <col min="15890" max="15890" width="12.375" style="2" customWidth="1"/>
    <col min="15891" max="15891" width="9.125" style="2" bestFit="1" customWidth="1"/>
    <col min="15892" max="15893" width="9" style="2"/>
    <col min="15894" max="15894" width="4.5" style="2" bestFit="1" customWidth="1"/>
    <col min="15895" max="15895" width="9" style="2"/>
    <col min="15896" max="15896" width="4.5" style="2" bestFit="1" customWidth="1"/>
    <col min="15897" max="15898" width="5.625" style="2" customWidth="1"/>
    <col min="15899" max="15899" width="9" style="2"/>
    <col min="15900" max="15900" width="5.625" style="2" customWidth="1"/>
    <col min="15901" max="15901" width="9" style="2"/>
    <col min="15902" max="15903" width="5.625" style="2" customWidth="1"/>
    <col min="15904" max="15904" width="9" style="2"/>
    <col min="15905" max="15905" width="5.625" style="2" customWidth="1"/>
    <col min="15906" max="15906" width="9" style="2"/>
    <col min="15907" max="15907" width="11.625" style="2" bestFit="1" customWidth="1"/>
    <col min="15908" max="16125" width="9" style="2"/>
    <col min="16126" max="16126" width="14.875" style="2" customWidth="1"/>
    <col min="16127" max="16129" width="3.625" style="2" customWidth="1"/>
    <col min="16130" max="16131" width="12.625" style="2" customWidth="1"/>
    <col min="16132" max="16132" width="7.5" style="2" customWidth="1"/>
    <col min="16133" max="16133" width="12.625" style="2" customWidth="1"/>
    <col min="16134" max="16134" width="6" style="2" customWidth="1"/>
    <col min="16135" max="16144" width="3.875" style="2" customWidth="1"/>
    <col min="16145" max="16145" width="2.5" style="2" customWidth="1"/>
    <col min="16146" max="16146" width="12.375" style="2" customWidth="1"/>
    <col min="16147" max="16147" width="9.125" style="2" bestFit="1" customWidth="1"/>
    <col min="16148" max="16149" width="9" style="2"/>
    <col min="16150" max="16150" width="4.5" style="2" bestFit="1" customWidth="1"/>
    <col min="16151" max="16151" width="9" style="2"/>
    <col min="16152" max="16152" width="4.5" style="2" bestFit="1" customWidth="1"/>
    <col min="16153" max="16154" width="5.625" style="2" customWidth="1"/>
    <col min="16155" max="16155" width="9" style="2"/>
    <col min="16156" max="16156" width="5.625" style="2" customWidth="1"/>
    <col min="16157" max="16157" width="9" style="2"/>
    <col min="16158" max="16159" width="5.625" style="2" customWidth="1"/>
    <col min="16160" max="16160" width="9" style="2"/>
    <col min="16161" max="16161" width="5.625" style="2" customWidth="1"/>
    <col min="16162" max="16162" width="9" style="2"/>
    <col min="16163" max="16163" width="11.625" style="2" bestFit="1" customWidth="1"/>
    <col min="16164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9" t="s">
        <v>20</v>
      </c>
      <c r="Q1" s="279"/>
      <c r="R1" s="279"/>
      <c r="S1" s="279"/>
      <c r="T1" s="10">
        <f>COUNTA(總表!$D$5:$D$37)</f>
        <v>22</v>
      </c>
      <c r="U1" s="1"/>
      <c r="V1" s="1"/>
    </row>
    <row r="2" spans="1:22" ht="15.75" customHeight="1">
      <c r="A2" s="9"/>
      <c r="B2" s="280" t="s">
        <v>11</v>
      </c>
      <c r="C2" s="280"/>
      <c r="D2" s="280"/>
      <c r="E2" s="280"/>
      <c r="F2" s="280"/>
      <c r="G2" s="280" t="s">
        <v>1189</v>
      </c>
      <c r="H2" s="280"/>
      <c r="I2" s="280"/>
      <c r="J2" s="280"/>
      <c r="K2" s="280"/>
      <c r="L2" s="280"/>
      <c r="M2" s="280"/>
      <c r="N2" s="280"/>
      <c r="O2" s="280"/>
      <c r="P2" s="281" t="s">
        <v>21</v>
      </c>
      <c r="Q2" s="281"/>
      <c r="R2" s="281"/>
      <c r="S2" s="281"/>
      <c r="T2" s="10">
        <f>COUNTA(總表!D10:D16)</f>
        <v>5</v>
      </c>
      <c r="U2" s="3"/>
      <c r="V2" s="4"/>
    </row>
    <row r="3" spans="1:22" ht="14.25" customHeight="1">
      <c r="A3" s="10"/>
      <c r="B3" s="282" t="s">
        <v>22</v>
      </c>
      <c r="C3" s="282" t="s">
        <v>23</v>
      </c>
      <c r="D3" s="282" t="s">
        <v>24</v>
      </c>
      <c r="E3" s="65"/>
      <c r="F3" s="285" t="s">
        <v>25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  <c r="S3" s="288" t="s">
        <v>26</v>
      </c>
      <c r="T3" s="289"/>
      <c r="U3" s="3"/>
      <c r="V3" s="4"/>
    </row>
    <row r="4" spans="1:22" ht="14.25" customHeight="1">
      <c r="A4" s="9"/>
      <c r="B4" s="283"/>
      <c r="C4" s="283"/>
      <c r="D4" s="283"/>
      <c r="E4" s="61"/>
      <c r="F4" s="272" t="s">
        <v>27</v>
      </c>
      <c r="G4" s="278" t="s">
        <v>28</v>
      </c>
      <c r="H4" s="282" t="s">
        <v>29</v>
      </c>
      <c r="I4" s="278" t="s">
        <v>28</v>
      </c>
      <c r="J4" s="282" t="s">
        <v>29</v>
      </c>
      <c r="K4" s="286" t="s">
        <v>30</v>
      </c>
      <c r="L4" s="286"/>
      <c r="M4" s="286"/>
      <c r="N4" s="286"/>
      <c r="O4" s="286"/>
      <c r="P4" s="286"/>
      <c r="Q4" s="286"/>
      <c r="R4" s="287"/>
      <c r="S4" s="290"/>
      <c r="T4" s="291"/>
      <c r="U4" s="3"/>
      <c r="V4" s="4"/>
    </row>
    <row r="5" spans="1:22" ht="14.25" customHeight="1">
      <c r="A5" s="10"/>
      <c r="B5" s="283"/>
      <c r="C5" s="283"/>
      <c r="D5" s="283"/>
      <c r="E5" s="61"/>
      <c r="F5" s="272"/>
      <c r="G5" s="278"/>
      <c r="H5" s="283"/>
      <c r="I5" s="278"/>
      <c r="J5" s="283"/>
      <c r="K5" s="282" t="s">
        <v>31</v>
      </c>
      <c r="L5" s="282" t="s">
        <v>32</v>
      </c>
      <c r="M5" s="282" t="s">
        <v>33</v>
      </c>
      <c r="N5" s="282" t="s">
        <v>34</v>
      </c>
      <c r="O5" s="282" t="s">
        <v>35</v>
      </c>
      <c r="P5" s="294" t="s">
        <v>36</v>
      </c>
      <c r="Q5" s="294" t="s">
        <v>37</v>
      </c>
      <c r="R5" s="297" t="s">
        <v>38</v>
      </c>
      <c r="S5" s="290"/>
      <c r="T5" s="291"/>
      <c r="U5" s="3"/>
      <c r="V5" s="4"/>
    </row>
    <row r="6" spans="1:22" ht="14.25" customHeight="1">
      <c r="A6" s="10" t="s">
        <v>1232</v>
      </c>
      <c r="B6" s="283"/>
      <c r="C6" s="283"/>
      <c r="D6" s="283"/>
      <c r="E6" s="61"/>
      <c r="F6" s="272"/>
      <c r="G6" s="278"/>
      <c r="H6" s="283"/>
      <c r="I6" s="278"/>
      <c r="J6" s="283"/>
      <c r="K6" s="283"/>
      <c r="L6" s="283"/>
      <c r="M6" s="283"/>
      <c r="N6" s="283"/>
      <c r="O6" s="283"/>
      <c r="P6" s="295"/>
      <c r="Q6" s="295"/>
      <c r="R6" s="297"/>
      <c r="S6" s="290"/>
      <c r="T6" s="291"/>
      <c r="U6" s="3"/>
      <c r="V6" s="4"/>
    </row>
    <row r="7" spans="1:22" ht="14.25" customHeight="1">
      <c r="A7" s="9" t="s">
        <v>1233</v>
      </c>
      <c r="B7" s="284"/>
      <c r="C7" s="284"/>
      <c r="D7" s="284"/>
      <c r="E7" s="62"/>
      <c r="F7" s="273"/>
      <c r="G7" s="271"/>
      <c r="H7" s="284"/>
      <c r="I7" s="278"/>
      <c r="J7" s="284"/>
      <c r="K7" s="284"/>
      <c r="L7" s="284"/>
      <c r="M7" s="284"/>
      <c r="N7" s="284"/>
      <c r="O7" s="284"/>
      <c r="P7" s="296"/>
      <c r="Q7" s="296"/>
      <c r="R7" s="297"/>
      <c r="S7" s="292"/>
      <c r="T7" s="293"/>
      <c r="U7" s="3"/>
      <c r="V7" s="4"/>
    </row>
    <row r="8" spans="1:22" ht="14.25" customHeight="1">
      <c r="A8" s="9"/>
      <c r="B8" s="314">
        <f>DATE(YEAR(第一周!B56),MONTH(第一周!B56),DAY(第一周!B56)+3)</f>
        <v>45264</v>
      </c>
      <c r="C8" s="315" t="s">
        <v>39</v>
      </c>
      <c r="D8" s="315" t="s">
        <v>40</v>
      </c>
      <c r="E8" s="73">
        <v>1</v>
      </c>
      <c r="F8" s="329" t="str">
        <f>LEFT(總表!$D10,IF(F11=0,LEN(總表!$D10)+3,LEN(總表!$D10)-3))</f>
        <v>味噌貢丸豆腐湯</v>
      </c>
      <c r="G8" s="21" t="str">
        <f>IFERROR(IF(VLOOKUP($E8&amp;+$F$8,依據!$A:$C,3,FALSE)=0,"",VLOOKUP($E8&amp;+$F$8,依據!$A:$C,3,FALSE)),"")</f>
        <v>味噌</v>
      </c>
      <c r="H8" s="21" t="str">
        <f>IFERROR(IF(VLOOKUP($E8&amp;+$F$8,依據!$A:$D,4,FALSE)=0,"",(VLOOKUP($E8&amp;+$F$8,依據!$A:$D,4,FALSE))),"")</f>
        <v>3小包</v>
      </c>
      <c r="I8" s="20" t="str">
        <f>IFERROR(IF(VLOOKUP($E8&amp;+$F$8,依據!$A:$E,5,FALSE)=0,"",VLOOKUP($E8&amp;+$F$8,依據!$A:$E,5,FALSE)),"")</f>
        <v>板豆腐</v>
      </c>
      <c r="J8" s="34">
        <f>IFERROR(IF(VLOOKUP($E8&amp;+$F$8,依據!$A:$F,6,FALSE)=0,"",(VLOOKUP($E8&amp;+$F$8,依據!$A:$F,6,FALSE))),"")</f>
        <v>1.2</v>
      </c>
      <c r="K8" s="274">
        <f>IF($F8="不供餐","",IFERROR(VLOOKUP($F8,依據!$B:L,11,FALSE),0)+IFERROR(VLOOKUP($F11,依據!$B:L,11,FALSE),0))</f>
        <v>0</v>
      </c>
      <c r="L8" s="277">
        <f>IF($F8="不供餐","",IFERROR(VLOOKUP($F8,依據!$B:M,12,FALSE),0)+IFERROR(VLOOKUP($F11,依據!$B:M,12,FALSE),0))</f>
        <v>0.54</v>
      </c>
      <c r="M8" s="277">
        <f>IF($F8="不供餐","",IFERROR(VLOOKUP($F8,依據!$B:N,13,FALSE),0)+IFERROR(VLOOKUP($F11,依據!$B:N,13,FALSE),0))</f>
        <v>0</v>
      </c>
      <c r="N8" s="298">
        <f>IF($F8="不供餐","",IFERROR(VLOOKUP($F8,依據!$B:O,14,FALSE),0)+IFERROR(VLOOKUP($F11,依據!$B:O,14,FALSE),0))</f>
        <v>0.2</v>
      </c>
      <c r="O8" s="277">
        <f>IF($F8="不供餐","",IFERROR(VLOOKUP($F8,依據!$B:P,15,FALSE),0)+IFERROR(VLOOKUP($F11,依據!$B:P,15,FALSE),0))</f>
        <v>1.04</v>
      </c>
      <c r="P8" s="277">
        <f>IF($F8="不供餐","",IFERROR(VLOOKUP($F8,依據!$B:Q,16,FALSE),0)+IFERROR(VLOOKUP($F11,依據!$B:Q,16,FALSE),0))</f>
        <v>0</v>
      </c>
      <c r="Q8" s="277">
        <f>IF($F8="不供餐","",IFERROR(VLOOKUP($F8,依據!$B:R,17,FALSE),0)+IFERROR(VLOOKUP($F11,依據!$B:R,17,FALSE),0))</f>
        <v>0</v>
      </c>
      <c r="R8" s="301">
        <f>IF($F8="不供餐","",SUM(K8*70+L8*75+M8*120+N8*25+O8*60+P8*45+Q8*4))</f>
        <v>107.9</v>
      </c>
      <c r="S8" s="303" t="str">
        <f>_xlfn.IFS(COUNTIF($F11,"水果")=1,"水果1種",(COUNTIF($F11,"水果"))=0,"")</f>
        <v>水果1種</v>
      </c>
      <c r="T8" s="291"/>
      <c r="U8" s="3"/>
      <c r="V8" s="4"/>
    </row>
    <row r="9" spans="1:22" ht="14.25" customHeight="1">
      <c r="A9" s="9"/>
      <c r="B9" s="267"/>
      <c r="C9" s="230"/>
      <c r="D9" s="230"/>
      <c r="E9" s="63">
        <v>2</v>
      </c>
      <c r="F9" s="330"/>
      <c r="G9" s="22" t="str">
        <f>IFERROR(IF(VLOOKUP($E9&amp;+$F$8,依據!$A:$C,3,FALSE)=0,"",VLOOKUP($E9&amp;+$F$8,依據!$A:$C,3,FALSE)),"")</f>
        <v>貢丸</v>
      </c>
      <c r="H9" s="22">
        <f>IFERROR(IF(VLOOKUP($E9&amp;+$F$8,依據!$A:$D,4,FALSE)=0,"",(VLOOKUP($E9&amp;+$F$8,依據!$A:$D,4,FALSE))),"")</f>
        <v>0.6</v>
      </c>
      <c r="I9" s="23" t="str">
        <f>IFERROR(IF(VLOOKUP($E9&amp;+$F$8,依據!$A:$E,5,FALSE)=0,"",VLOOKUP($E9&amp;+$F$8,依據!$A:$E,5,FALSE)),"")</f>
        <v>柴魚片</v>
      </c>
      <c r="J9" s="36" t="str">
        <f>IFERROR(IF(VLOOKUP($E9&amp;+$F$8,依據!$A:$F,6,FALSE)=0,"",(VLOOKUP($E9&amp;+$F$8,依據!$A:$F,6,FALSE))),"")</f>
        <v>1小包</v>
      </c>
      <c r="K9" s="275"/>
      <c r="L9" s="275"/>
      <c r="M9" s="275"/>
      <c r="N9" s="299"/>
      <c r="O9" s="275"/>
      <c r="P9" s="275"/>
      <c r="Q9" s="275"/>
      <c r="R9" s="302"/>
      <c r="S9" s="303"/>
      <c r="T9" s="291"/>
      <c r="U9" s="3"/>
      <c r="V9" s="4"/>
    </row>
    <row r="10" spans="1:22" ht="14.25" customHeight="1">
      <c r="A10" s="9"/>
      <c r="B10" s="267"/>
      <c r="C10" s="230"/>
      <c r="D10" s="230"/>
      <c r="E10" s="63">
        <v>3</v>
      </c>
      <c r="F10" s="331"/>
      <c r="G10" s="24" t="str">
        <f>IFERROR(IF(VLOOKUP($E10&amp;+$F$8,依據!$A:$C,3,FALSE)=0,"",VLOOKUP($E10&amp;+$F$8,依據!$A:$C,3,FALSE)),"")</f>
        <v>海帶芽</v>
      </c>
      <c r="H10" s="24">
        <f>IFERROR(IF(VLOOKUP($E10&amp;+$F$8,依據!$A:$D,4,FALSE)=0,"",(VLOOKUP($E10&amp;+$F$8,依據!$A:$D,4,FALSE))),"")</f>
        <v>0.1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5"/>
      <c r="L10" s="275"/>
      <c r="M10" s="275"/>
      <c r="N10" s="299"/>
      <c r="O10" s="275"/>
      <c r="P10" s="275"/>
      <c r="Q10" s="275"/>
      <c r="R10" s="302"/>
      <c r="S10" s="303"/>
      <c r="T10" s="291"/>
      <c r="U10" s="3"/>
      <c r="V10" s="4"/>
    </row>
    <row r="11" spans="1:22" ht="14.25" customHeight="1">
      <c r="A11" s="9"/>
      <c r="B11" s="267"/>
      <c r="C11" s="230"/>
      <c r="D11" s="230"/>
      <c r="E11" s="63">
        <v>1</v>
      </c>
      <c r="F11" s="316" t="str">
        <f>IFERROR(IF(FIND("+水果",總表!$D10)&gt;0,"水果",""),0)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1249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5"/>
      <c r="L11" s="275"/>
      <c r="M11" s="275"/>
      <c r="N11" s="299"/>
      <c r="O11" s="275"/>
      <c r="P11" s="275"/>
      <c r="Q11" s="275"/>
      <c r="R11" s="302"/>
      <c r="S11" s="303"/>
      <c r="T11" s="291"/>
      <c r="U11" s="1"/>
      <c r="V11" s="1"/>
    </row>
    <row r="12" spans="1:22" ht="14.25" customHeight="1">
      <c r="A12" s="9"/>
      <c r="B12" s="267"/>
      <c r="C12" s="230"/>
      <c r="D12" s="230"/>
      <c r="E12" s="63">
        <v>2</v>
      </c>
      <c r="F12" s="306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5"/>
      <c r="L12" s="275"/>
      <c r="M12" s="275"/>
      <c r="N12" s="299"/>
      <c r="O12" s="275"/>
      <c r="P12" s="275"/>
      <c r="Q12" s="275"/>
      <c r="R12" s="302"/>
      <c r="S12" s="303"/>
      <c r="T12" s="291"/>
      <c r="U12" s="1"/>
      <c r="V12" s="1"/>
    </row>
    <row r="13" spans="1:22" ht="14.25" customHeight="1">
      <c r="A13" s="9"/>
      <c r="B13" s="267"/>
      <c r="C13" s="230"/>
      <c r="D13" s="270"/>
      <c r="E13" s="64">
        <v>3</v>
      </c>
      <c r="F13" s="307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6"/>
      <c r="L13" s="276"/>
      <c r="M13" s="276"/>
      <c r="N13" s="300"/>
      <c r="O13" s="276"/>
      <c r="P13" s="276"/>
      <c r="Q13" s="276"/>
      <c r="R13" s="302"/>
      <c r="S13" s="304"/>
      <c r="T13" s="293"/>
      <c r="U13" s="1"/>
      <c r="V13" s="16"/>
    </row>
    <row r="14" spans="1:22" ht="14.25" customHeight="1">
      <c r="A14" s="9"/>
      <c r="B14" s="267"/>
      <c r="C14" s="230"/>
      <c r="D14" s="230" t="s">
        <v>41</v>
      </c>
      <c r="E14" s="73">
        <v>1</v>
      </c>
      <c r="F14" s="332" t="str">
        <f>IFERROR(LEFT(總表!$E10,FIND("+",總表!$E10)-1),總表!$E10)</f>
        <v>玉米脆片</v>
      </c>
      <c r="G14" s="21" t="str">
        <f>IFERROR(IF(VLOOKUP($E14&amp;+$F$14,依據!$A:$C,3,FALSE)=0,"",VLOOKUP($E14&amp;+$F$14,依據!$A:$C,3,FALSE)),"")</f>
        <v>玉米脆片(大)</v>
      </c>
      <c r="H14" s="21" t="str">
        <f>IFERROR(IF(VLOOKUP($E14&amp;+$F$14,依據!$A:$D,4,FALSE)=0,"",(VLOOKUP($E14&amp;+$F$14,依據!$A:$D,4,FALSE))),"")</f>
        <v>3盒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74">
        <v>1.2</v>
      </c>
      <c r="L14" s="277">
        <v>0</v>
      </c>
      <c r="M14" s="277">
        <v>0.5</v>
      </c>
      <c r="N14" s="298">
        <v>0</v>
      </c>
      <c r="O14" s="277">
        <v>0</v>
      </c>
      <c r="P14" s="277">
        <v>0</v>
      </c>
      <c r="Q14" s="277">
        <v>0</v>
      </c>
      <c r="R14" s="301">
        <v>0</v>
      </c>
      <c r="S14" s="303" t="str">
        <f>_xlfn.IFS(COUNTIF($F14,"水果拼盤")=1,"水果3種",(COUNTIF($F14,"水果拼盤"))=0,"")</f>
        <v/>
      </c>
      <c r="T14" s="291"/>
      <c r="U14" s="1"/>
      <c r="V14" s="16"/>
    </row>
    <row r="15" spans="1:22" ht="14.25" customHeight="1">
      <c r="A15" s="9"/>
      <c r="B15" s="267"/>
      <c r="C15" s="230"/>
      <c r="D15" s="230"/>
      <c r="E15" s="63">
        <v>2</v>
      </c>
      <c r="F15" s="333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5"/>
      <c r="L15" s="275"/>
      <c r="M15" s="275"/>
      <c r="N15" s="299"/>
      <c r="O15" s="275"/>
      <c r="P15" s="275"/>
      <c r="Q15" s="275"/>
      <c r="R15" s="302"/>
      <c r="S15" s="303"/>
      <c r="T15" s="291"/>
      <c r="U15" s="1"/>
      <c r="V15" s="1"/>
    </row>
    <row r="16" spans="1:22" ht="14.25" customHeight="1">
      <c r="A16" s="9"/>
      <c r="B16" s="267"/>
      <c r="C16" s="230"/>
      <c r="D16" s="230"/>
      <c r="E16" s="63">
        <v>3</v>
      </c>
      <c r="F16" s="334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5"/>
      <c r="L16" s="275"/>
      <c r="M16" s="275"/>
      <c r="N16" s="299"/>
      <c r="O16" s="275"/>
      <c r="P16" s="275"/>
      <c r="Q16" s="275"/>
      <c r="R16" s="302"/>
      <c r="S16" s="303"/>
      <c r="T16" s="291"/>
      <c r="U16" s="1"/>
      <c r="V16" s="1"/>
    </row>
    <row r="17" spans="1:22" ht="14.25" customHeight="1">
      <c r="A17" s="9"/>
      <c r="B17" s="267"/>
      <c r="C17" s="230"/>
      <c r="D17" s="230"/>
      <c r="E17" s="63">
        <v>1</v>
      </c>
      <c r="F17" s="311" t="str">
        <f>IFERROR(IF(FIND("+",總表!$E10)&gt;0,RIGHT(總表!$E10,LEN(總表!$E10)-FIND("+",總表!$E10)),""),0)</f>
        <v>鮮奶</v>
      </c>
      <c r="G17" s="21" t="str">
        <f>IFERROR(IF(VLOOKUP($E17&amp;+$F$17,依據!$A:$C,3,FALSE)=0,"",VLOOKUP($E17&amp;+$F$17,依據!$A:$C,3,FALSE)),"")</f>
        <v>鮮奶</v>
      </c>
      <c r="H17" s="21" t="str">
        <f>IFERROR(IF(VLOOKUP($E17&amp;+$F$17,依據!$A:$D,4,FALSE)=0,"",(VLOOKUP($E17&amp;+$F$17,依據!$A:$D,4,FALSE))),"")</f>
        <v>1L*7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5"/>
      <c r="L17" s="275"/>
      <c r="M17" s="275"/>
      <c r="N17" s="299"/>
      <c r="O17" s="275"/>
      <c r="P17" s="275"/>
      <c r="Q17" s="275"/>
      <c r="R17" s="302"/>
      <c r="S17" s="303"/>
      <c r="T17" s="291"/>
      <c r="U17" s="1"/>
      <c r="V17" s="1"/>
    </row>
    <row r="18" spans="1:22" ht="14.25" customHeight="1">
      <c r="A18" s="9"/>
      <c r="B18" s="267"/>
      <c r="C18" s="230"/>
      <c r="D18" s="230"/>
      <c r="E18" s="63">
        <v>2</v>
      </c>
      <c r="F18" s="312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5"/>
      <c r="L18" s="275"/>
      <c r="M18" s="275"/>
      <c r="N18" s="299"/>
      <c r="O18" s="275"/>
      <c r="P18" s="275"/>
      <c r="Q18" s="275"/>
      <c r="R18" s="302"/>
      <c r="S18" s="303"/>
      <c r="T18" s="291"/>
      <c r="U18" s="1"/>
      <c r="V18" s="1"/>
    </row>
    <row r="19" spans="1:22" ht="14.25" customHeight="1">
      <c r="A19" s="9"/>
      <c r="B19" s="268"/>
      <c r="C19" s="270"/>
      <c r="D19" s="270"/>
      <c r="E19" s="64">
        <v>3</v>
      </c>
      <c r="F19" s="313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6"/>
      <c r="L19" s="276"/>
      <c r="M19" s="276"/>
      <c r="N19" s="300"/>
      <c r="O19" s="276"/>
      <c r="P19" s="276"/>
      <c r="Q19" s="276"/>
      <c r="R19" s="302"/>
      <c r="S19" s="304"/>
      <c r="T19" s="293"/>
      <c r="U19" s="1"/>
      <c r="V19" s="1"/>
    </row>
    <row r="20" spans="1:22" ht="14.25" customHeight="1">
      <c r="A20" s="9"/>
      <c r="B20" s="314">
        <f>DATE(YEAR(B8),MONTH(B8),DAY(B8)+1)</f>
        <v>45265</v>
      </c>
      <c r="C20" s="315" t="s">
        <v>15</v>
      </c>
      <c r="D20" s="315" t="s">
        <v>40</v>
      </c>
      <c r="E20" s="73">
        <v>1</v>
      </c>
      <c r="F20" s="271" t="str">
        <f>LEFT(總表!$D11,IF(F23=0,LEN(總表!$D11)+3,LEN(總表!$D11)-3))</f>
        <v>魷魚羹麵</v>
      </c>
      <c r="G20" s="21" t="str">
        <f>IFERROR(IF(VLOOKUP($E20&amp;+$F$20,依據!$A:$C,3,FALSE)=0,"",VLOOKUP($E20&amp;+$F$20,依據!$A:$C,3,FALSE)),"")</f>
        <v>魷魚羹</v>
      </c>
      <c r="H20" s="21">
        <f>IFERROR(IF(VLOOKUP($E20&amp;+$F$20,依據!$A:$D,4,FALSE)=0,"",(VLOOKUP($E20&amp;+$F$20,依據!$A:$D,4,FALSE))),"")</f>
        <v>1.5</v>
      </c>
      <c r="I20" s="20" t="str">
        <f>IFERROR(IF(VLOOKUP($E20&amp;+$F$20,依據!$A:$E,5,FALSE)=0,"",VLOOKUP($E20&amp;+$F$20,依據!$A:$E,5,FALSE)),"")</f>
        <v>蒜酥</v>
      </c>
      <c r="J20" s="34" t="str">
        <f>IFERROR(IF(VLOOKUP($E20&amp;+$F$20,依據!$A:$F,6,FALSE)=0,"",(VLOOKUP($E20&amp;+$F$20,依據!$A:$F,6,FALSE))),"")</f>
        <v>1小包</v>
      </c>
      <c r="K20" s="274">
        <f>IF($F20="不供餐","",IFERROR(VLOOKUP($F20,依據!$B:L,11,FALSE),0)+IFERROR(VLOOKUP($F23,依據!$B:L,11,FALSE),0))</f>
        <v>0</v>
      </c>
      <c r="L20" s="277">
        <f>IF($F20="不供餐","",IFERROR(VLOOKUP($F20,依據!$B:M,12,FALSE),0)+IFERROR(VLOOKUP($F23,依據!$B:M,12,FALSE),0))</f>
        <v>0.6</v>
      </c>
      <c r="M20" s="277">
        <f>IF($F20="不供餐","",IFERROR(VLOOKUP($F20,依據!$B:N,13,FALSE),0)+IFERROR(VLOOKUP($F23,依據!$B:N,13,FALSE),0))</f>
        <v>0</v>
      </c>
      <c r="N20" s="298">
        <f>IF($F20="不供餐","",IFERROR(VLOOKUP($F20,依據!$B:O,14,FALSE),0)+IFERROR(VLOOKUP($F23,依據!$B:O,14,FALSE),0))</f>
        <v>0.24</v>
      </c>
      <c r="O20" s="277">
        <f>IF($F20="不供餐","",IFERROR(VLOOKUP($F20,依據!$B:P,15,FALSE),0)+IFERROR(VLOOKUP($F23,依據!$B:P,15,FALSE),0))</f>
        <v>1.04</v>
      </c>
      <c r="P20" s="277">
        <f>IF($F20="不供餐","",IFERROR(VLOOKUP($F20,依據!$B:Q,16,FALSE),0)+IFERROR(VLOOKUP($F23,依據!$B:Q,16,FALSE),0))</f>
        <v>0</v>
      </c>
      <c r="Q20" s="277">
        <f>IF($F20="不供餐","",IFERROR(VLOOKUP($F20,依據!$B:R,17,FALSE),0)+IFERROR(VLOOKUP($F23,依據!$B:R,17,FALSE),0))</f>
        <v>0</v>
      </c>
      <c r="R20" s="301">
        <f>IF($F20="不供餐","",SUM(K20*70+L20*75+M20*120+N20*25+O20*60+P20*45+Q20*4))</f>
        <v>113.4</v>
      </c>
      <c r="S20" s="303" t="str">
        <f>_xlfn.IFS(COUNTIF($F23,"水果")=1,"水果1種",(COUNTIF($F23,"水果"))=0,"")</f>
        <v>水果1種</v>
      </c>
      <c r="T20" s="291"/>
      <c r="U20" s="1"/>
      <c r="V20" s="1"/>
    </row>
    <row r="21" spans="1:22" ht="14.25" customHeight="1">
      <c r="A21" s="9"/>
      <c r="B21" s="267"/>
      <c r="C21" s="230"/>
      <c r="D21" s="230"/>
      <c r="E21" s="63">
        <v>2</v>
      </c>
      <c r="F21" s="272"/>
      <c r="G21" s="22" t="str">
        <f>IFERROR(IF(VLOOKUP($E21&amp;+$F$20,依據!$A:$C,3,FALSE)=0,"",VLOOKUP($E21&amp;+$F$20,依據!$A:$C,3,FALSE)),"")</f>
        <v>細烏龍麵</v>
      </c>
      <c r="H21" s="22">
        <f>IFERROR(IF(VLOOKUP($E21&amp;+$F$20,依據!$A:$D,4,FALSE)=0,"",(VLOOKUP($E21&amp;+$F$20,依據!$A:$D,4,FALSE))),"")</f>
        <v>3.6</v>
      </c>
      <c r="I21" s="23" t="str">
        <f>IFERROR(IF(VLOOKUP($E21&amp;+$F$20,依據!$A:$E,5,FALSE)=0,"",VLOOKUP($E21&amp;+$F$20,依據!$A:$E,5,FALSE)),"")</f>
        <v>柴魚片</v>
      </c>
      <c r="J21" s="36" t="str">
        <f>IFERROR(IF(VLOOKUP($E21&amp;+$F$20,依據!$A:$F,6,FALSE)=0,"",(VLOOKUP($E21&amp;+$F$20,依據!$A:$F,6,FALSE))),"")</f>
        <v>2小包</v>
      </c>
      <c r="K21" s="275"/>
      <c r="L21" s="275"/>
      <c r="M21" s="275"/>
      <c r="N21" s="299"/>
      <c r="O21" s="275"/>
      <c r="P21" s="275"/>
      <c r="Q21" s="275"/>
      <c r="R21" s="302"/>
      <c r="S21" s="303"/>
      <c r="T21" s="291"/>
      <c r="U21" s="1"/>
      <c r="V21" s="1"/>
    </row>
    <row r="22" spans="1:22" ht="14.25" customHeight="1">
      <c r="A22" s="9"/>
      <c r="B22" s="267"/>
      <c r="C22" s="230"/>
      <c r="D22" s="230"/>
      <c r="E22" s="63">
        <v>3</v>
      </c>
      <c r="F22" s="273"/>
      <c r="G22" s="24" t="str">
        <f>IFERROR(IF(VLOOKUP($E22&amp;+$F$20,依據!$A:$C,3,FALSE)=0,"",VLOOKUP($E22&amp;+$F$20,依據!$A:$C,3,FALSE)),"")</f>
        <v>高麗菜</v>
      </c>
      <c r="H22" s="24">
        <f>IFERROR(IF(VLOOKUP($E22&amp;+$F$20,依據!$A:$D,4,FALSE)=0,"",(VLOOKUP($E22&amp;+$F$20,依據!$A:$D,4,FALSE))),"")</f>
        <v>1.2</v>
      </c>
      <c r="I22" s="25" t="str">
        <f>IFERROR(IF(VLOOKUP($E22&amp;+$F$20,依據!$A:$E,5,FALSE)=0,"",VLOOKUP($E22&amp;+$F$20,依據!$A:$E,5,FALSE)),"")</f>
        <v>沙茶醬</v>
      </c>
      <c r="J22" s="37" t="str">
        <f>IFERROR(IF(VLOOKUP($E22&amp;+$F$20,依據!$A:$F,6,FALSE)=0,"",(VLOOKUP($E22&amp;+$F$20,依據!$A:$F,6,FALSE))),"")</f>
        <v>1小瓶</v>
      </c>
      <c r="K22" s="275"/>
      <c r="L22" s="275"/>
      <c r="M22" s="275"/>
      <c r="N22" s="299"/>
      <c r="O22" s="275"/>
      <c r="P22" s="275"/>
      <c r="Q22" s="275"/>
      <c r="R22" s="302"/>
      <c r="S22" s="303"/>
      <c r="T22" s="291"/>
      <c r="U22" s="1"/>
      <c r="V22" s="1"/>
    </row>
    <row r="23" spans="1:22" ht="14.25" customHeight="1">
      <c r="A23" s="43"/>
      <c r="B23" s="267"/>
      <c r="C23" s="230"/>
      <c r="D23" s="230"/>
      <c r="E23" s="63">
        <v>1</v>
      </c>
      <c r="F23" s="316" t="str">
        <f>IFERROR(IF(FIND("+水果",總表!$D11)&gt;0,"水果",""),0)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1249</v>
      </c>
      <c r="I23" s="20" t="s">
        <v>1226</v>
      </c>
      <c r="J23" s="34">
        <v>0.6</v>
      </c>
      <c r="K23" s="275"/>
      <c r="L23" s="275"/>
      <c r="M23" s="275"/>
      <c r="N23" s="299"/>
      <c r="O23" s="275"/>
      <c r="P23" s="275"/>
      <c r="Q23" s="275"/>
      <c r="R23" s="302"/>
      <c r="S23" s="303"/>
      <c r="T23" s="291"/>
      <c r="U23" s="1"/>
      <c r="V23" s="1"/>
    </row>
    <row r="24" spans="1:22" ht="14.25" customHeight="1">
      <c r="A24" s="44"/>
      <c r="B24" s="267"/>
      <c r="C24" s="230"/>
      <c r="D24" s="230"/>
      <c r="E24" s="63">
        <v>2</v>
      </c>
      <c r="F24" s="306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">
        <v>1254</v>
      </c>
      <c r="J24" s="36">
        <v>0.2</v>
      </c>
      <c r="K24" s="275"/>
      <c r="L24" s="275"/>
      <c r="M24" s="275"/>
      <c r="N24" s="299"/>
      <c r="O24" s="275"/>
      <c r="P24" s="275"/>
      <c r="Q24" s="275"/>
      <c r="R24" s="302"/>
      <c r="S24" s="303"/>
      <c r="T24" s="291"/>
      <c r="U24" s="1"/>
      <c r="V24" s="1"/>
    </row>
    <row r="25" spans="1:22" ht="14.25" customHeight="1">
      <c r="A25" s="44"/>
      <c r="B25" s="267"/>
      <c r="C25" s="230"/>
      <c r="D25" s="270"/>
      <c r="E25" s="64">
        <v>3</v>
      </c>
      <c r="F25" s="307"/>
      <c r="G25" s="24" t="str">
        <f>IFERROR(IF(VLOOKUP($E25&amp;+$F$23,依據!$A:$C,3,FALSE)=0,"",VLOOKUP($E25&amp;+$F$23,依據!$A:$C,3,FALSE)),"")</f>
        <v/>
      </c>
      <c r="H25" s="24"/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6"/>
      <c r="L25" s="276"/>
      <c r="M25" s="276"/>
      <c r="N25" s="300"/>
      <c r="O25" s="276"/>
      <c r="P25" s="276"/>
      <c r="Q25" s="276"/>
      <c r="R25" s="302"/>
      <c r="S25" s="304"/>
      <c r="T25" s="293"/>
      <c r="U25" s="1"/>
      <c r="V25" s="1"/>
    </row>
    <row r="26" spans="1:22" ht="14.25" customHeight="1">
      <c r="A26" s="9"/>
      <c r="B26" s="267"/>
      <c r="C26" s="230"/>
      <c r="D26" s="230" t="s">
        <v>41</v>
      </c>
      <c r="E26" s="73">
        <v>1</v>
      </c>
      <c r="F26" s="308" t="str">
        <f>IFERROR(LEFT(總表!$E11,FIND("+",總表!$E11)-1),總表!$E11)</f>
        <v>黑糖豆花</v>
      </c>
      <c r="G26" s="21" t="str">
        <f>IFERROR(IF(VLOOKUP($E26&amp;+$F$26,依據!$A:$C,3,FALSE)=0,"",VLOOKUP($E26&amp;+$F$26,依據!$A:$C,3,FALSE)),"")</f>
        <v>豆花</v>
      </c>
      <c r="H26" s="21">
        <f>IFERROR(IF(VLOOKUP($E26&amp;+$F$26,依據!$A:$D,4,FALSE)=0,"",(VLOOKUP($E26&amp;+$F$26,依據!$A:$D,4,FALSE))),"")</f>
        <v>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74">
        <f>IF($F26="不供餐","",IFERROR(VLOOKUP($F26,依據!$B:L,11,FALSE),0)+IFERROR(VLOOKUP($F29,依據!$B:L,11,FALSE),0))</f>
        <v>0</v>
      </c>
      <c r="L26" s="277">
        <f>IF($F26="不供餐","",IFERROR(VLOOKUP($F26,依據!$B:M,12,FALSE),0)+IFERROR(VLOOKUP($F29,依據!$B:M,12,FALSE),0))</f>
        <v>0.6</v>
      </c>
      <c r="M26" s="277">
        <f>IF($F26="不供餐","",IFERROR(VLOOKUP($F26,依據!$B:N,13,FALSE),0)+IFERROR(VLOOKUP($F29,依據!$B:N,13,FALSE),0))</f>
        <v>0</v>
      </c>
      <c r="N26" s="298">
        <f>IF($F26="不供餐","",IFERROR(VLOOKUP($F26,依據!$B:O,14,FALSE),0)+IFERROR(VLOOKUP($F29,依據!$B:O,14,FALSE),0))</f>
        <v>0</v>
      </c>
      <c r="O26" s="277">
        <f>IF($F26="不供餐","",IFERROR(VLOOKUP($F26,依據!$B:P,15,FALSE),0)+IFERROR(VLOOKUP($F29,依據!$B:P,15,FALSE),0))</f>
        <v>0</v>
      </c>
      <c r="P26" s="277">
        <f>IF($F26="不供餐","",IFERROR(VLOOKUP($F26,依據!$B:Q,16,FALSE),0)+IFERROR(VLOOKUP($F29,依據!$B:Q,16,FALSE),0))</f>
        <v>0</v>
      </c>
      <c r="Q26" s="277">
        <f>IF($F26="不供餐","",IFERROR(VLOOKUP($F26,依據!$B:R,17,FALSE),0)+IFERROR(VLOOKUP($F29,依據!$B:R,17,FALSE),0))</f>
        <v>20</v>
      </c>
      <c r="R26" s="301">
        <f>IF($F26="不供餐","",SUM(K26*70+L26*75+M26*120+N26*25+O26*60+P26*45+Q26*4))</f>
        <v>125</v>
      </c>
      <c r="S26" s="303" t="str">
        <f>_xlfn.IFS(COUNTIF($F26,"水果拼盤")=1,"水果3種",(COUNTIF($F26,"水果拼盤"))=0,"")</f>
        <v/>
      </c>
      <c r="T26" s="291"/>
      <c r="U26" s="1"/>
      <c r="V26" s="1"/>
    </row>
    <row r="27" spans="1:22" ht="14.25" customHeight="1">
      <c r="A27" s="9"/>
      <c r="B27" s="267"/>
      <c r="C27" s="230"/>
      <c r="D27" s="230"/>
      <c r="E27" s="63">
        <v>2</v>
      </c>
      <c r="F27" s="309"/>
      <c r="G27" s="22" t="str">
        <f>IFERROR(IF(VLOOKUP($E27&amp;+$F$26,依據!$A:$C,3,FALSE)=0,"",VLOOKUP($E27&amp;+$F$26,依據!$A:$C,3,FALSE)),"")</f>
        <v>熟花生半</v>
      </c>
      <c r="H27" s="22">
        <f>IFERROR(IF(VLOOKUP($E27&amp;+$F$26,依據!$A:$D,4,FALSE)=0,"",(VLOOKUP($E27&amp;+$F$26,依據!$A:$D,4,FALSE))),"")</f>
        <v>1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5"/>
      <c r="L27" s="275"/>
      <c r="M27" s="275"/>
      <c r="N27" s="299"/>
      <c r="O27" s="275"/>
      <c r="P27" s="275"/>
      <c r="Q27" s="275"/>
      <c r="R27" s="302"/>
      <c r="S27" s="303"/>
      <c r="T27" s="291"/>
      <c r="U27" s="1"/>
      <c r="V27" s="1"/>
    </row>
    <row r="28" spans="1:22" ht="14.25" customHeight="1">
      <c r="A28" s="9"/>
      <c r="B28" s="267"/>
      <c r="C28" s="230"/>
      <c r="D28" s="230"/>
      <c r="E28" s="63">
        <v>3</v>
      </c>
      <c r="F28" s="310"/>
      <c r="G28" s="24" t="str">
        <f>IFERROR(IF(VLOOKUP($E28&amp;+$F$26,依據!$A:$C,3,FALSE)=0,"",VLOOKUP($E28&amp;+$F$26,依據!$A:$C,3,FALSE)),"")</f>
        <v>黑糖</v>
      </c>
      <c r="H28" s="24">
        <f>IFERROR(IF(VLOOKUP($E28&amp;+$F$26,依據!$A:$D,4,FALSE)=0,"",(VLOOKUP($E28&amp;+$F$26,依據!$A:$D,4,FALSE))),"")</f>
        <v>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5"/>
      <c r="L28" s="275"/>
      <c r="M28" s="275"/>
      <c r="N28" s="299"/>
      <c r="O28" s="275"/>
      <c r="P28" s="275"/>
      <c r="Q28" s="275"/>
      <c r="R28" s="302"/>
      <c r="S28" s="303"/>
      <c r="T28" s="291"/>
      <c r="U28" s="1"/>
      <c r="V28" s="1"/>
    </row>
    <row r="29" spans="1:22" ht="14.25" customHeight="1">
      <c r="A29" s="9"/>
      <c r="B29" s="267"/>
      <c r="C29" s="230"/>
      <c r="D29" s="230"/>
      <c r="E29" s="63">
        <v>1</v>
      </c>
      <c r="F29" s="311">
        <f>IFERROR(IF(FIND("+",總表!$E11)&gt;0,RIGHT(總表!$E11,LEN(總表!$E11)-FIND("+",總表!$E11)),""),0)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5"/>
      <c r="L29" s="275"/>
      <c r="M29" s="275"/>
      <c r="N29" s="299"/>
      <c r="O29" s="275"/>
      <c r="P29" s="275"/>
      <c r="Q29" s="275"/>
      <c r="R29" s="302"/>
      <c r="S29" s="303"/>
      <c r="T29" s="291"/>
      <c r="U29" s="1"/>
      <c r="V29" s="1"/>
    </row>
    <row r="30" spans="1:22" ht="14.25" customHeight="1">
      <c r="A30" s="9"/>
      <c r="B30" s="267"/>
      <c r="C30" s="230"/>
      <c r="D30" s="230"/>
      <c r="E30" s="63">
        <v>2</v>
      </c>
      <c r="F30" s="312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5"/>
      <c r="L30" s="275"/>
      <c r="M30" s="275"/>
      <c r="N30" s="299"/>
      <c r="O30" s="275"/>
      <c r="P30" s="275"/>
      <c r="Q30" s="275"/>
      <c r="R30" s="302"/>
      <c r="S30" s="303"/>
      <c r="T30" s="291"/>
      <c r="U30" s="1"/>
      <c r="V30" s="1"/>
    </row>
    <row r="31" spans="1:22" ht="14.25" customHeight="1">
      <c r="A31" s="9"/>
      <c r="B31" s="268"/>
      <c r="C31" s="270"/>
      <c r="D31" s="270"/>
      <c r="E31" s="64">
        <v>3</v>
      </c>
      <c r="F31" s="313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6"/>
      <c r="L31" s="276"/>
      <c r="M31" s="276"/>
      <c r="N31" s="300"/>
      <c r="O31" s="276"/>
      <c r="P31" s="276"/>
      <c r="Q31" s="276"/>
      <c r="R31" s="302"/>
      <c r="S31" s="304"/>
      <c r="T31" s="293"/>
      <c r="U31" s="1"/>
      <c r="V31" s="1"/>
    </row>
    <row r="32" spans="1:22" ht="14.25" customHeight="1">
      <c r="A32" s="9"/>
      <c r="B32" s="314">
        <f t="shared" ref="B32" si="0">DATE(YEAR(B20),MONTH(B20),DAY(B20)+1)</f>
        <v>45266</v>
      </c>
      <c r="C32" s="315" t="s">
        <v>16</v>
      </c>
      <c r="D32" s="315" t="s">
        <v>40</v>
      </c>
      <c r="E32" s="73">
        <v>1</v>
      </c>
      <c r="F32" s="271" t="str">
        <f>LEFT(總表!$D12,IF(F35=0,LEN(總表!$D12)+3,LEN(總表!$D12)-3))</f>
        <v>生日蛋糕</v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74">
        <f>IF($F32="不供餐","",IFERROR(VLOOKUP($F32,依據!$B:L,11,FALSE),0)+IFERROR(VLOOKUP($F35,依據!$B:L,11,FALSE),0))</f>
        <v>0</v>
      </c>
      <c r="L32" s="277">
        <f>IF($F32="不供餐","",IFERROR(VLOOKUP($F32,依據!$B:M,12,FALSE),0)+IFERROR(VLOOKUP($F35,依據!$B:M,12,FALSE),0))</f>
        <v>0</v>
      </c>
      <c r="M32" s="277">
        <f>IF($F32="不供餐","",IFERROR(VLOOKUP($F32,依據!$B:N,13,FALSE),0)+IFERROR(VLOOKUP($F35,依據!$B:N,13,FALSE),0))</f>
        <v>0</v>
      </c>
      <c r="N32" s="298">
        <f>IF($F32="不供餐","",IFERROR(VLOOKUP($F32,依據!$B:O,14,FALSE),0)+IFERROR(VLOOKUP($F35,依據!$B:O,14,FALSE),0))</f>
        <v>0</v>
      </c>
      <c r="O32" s="277">
        <f>IF($F32="不供餐","",IFERROR(VLOOKUP($F32,依據!$B:P,15,FALSE),0)+IFERROR(VLOOKUP($F35,依據!$B:P,15,FALSE),0))</f>
        <v>0</v>
      </c>
      <c r="P32" s="277">
        <f>IF($F32="不供餐","",IFERROR(VLOOKUP($F32,依據!$B:Q,16,FALSE),0)+IFERROR(VLOOKUP($F35,依據!$B:Q,16,FALSE),0))</f>
        <v>0</v>
      </c>
      <c r="Q32" s="277">
        <f>IF($F32="不供餐","",IFERROR(VLOOKUP($F32,依據!$B:R,17,FALSE),0)+IFERROR(VLOOKUP($F35,依據!$B:R,17,FALSE),0))</f>
        <v>0</v>
      </c>
      <c r="R32" s="301">
        <f>IF($F32="不供餐","",SUM(K32*70+L32*75+M32*120+N32*25+O32*60+P32*45+Q32*4))</f>
        <v>0</v>
      </c>
      <c r="S32" s="303" t="str">
        <f>_xlfn.IFS(COUNTIF($F35,"水果")=1,"水果1種",(COUNTIF($F35,"水果"))=0,"")</f>
        <v/>
      </c>
      <c r="T32" s="291"/>
      <c r="U32" s="1"/>
      <c r="V32" s="1"/>
    </row>
    <row r="33" spans="1:22" ht="14.25" customHeight="1">
      <c r="A33" s="9"/>
      <c r="B33" s="267"/>
      <c r="C33" s="230"/>
      <c r="D33" s="230"/>
      <c r="E33" s="63">
        <v>2</v>
      </c>
      <c r="F33" s="272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75"/>
      <c r="L33" s="275"/>
      <c r="M33" s="275"/>
      <c r="N33" s="299"/>
      <c r="O33" s="275"/>
      <c r="P33" s="275"/>
      <c r="Q33" s="275"/>
      <c r="R33" s="302"/>
      <c r="S33" s="303"/>
      <c r="T33" s="291"/>
      <c r="U33" s="1"/>
      <c r="V33" s="1"/>
    </row>
    <row r="34" spans="1:22" ht="14.25" customHeight="1">
      <c r="A34" s="9"/>
      <c r="B34" s="267"/>
      <c r="C34" s="230"/>
      <c r="D34" s="230"/>
      <c r="E34" s="63">
        <v>3</v>
      </c>
      <c r="F34" s="273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5"/>
      <c r="L34" s="275"/>
      <c r="M34" s="275"/>
      <c r="N34" s="299"/>
      <c r="O34" s="275"/>
      <c r="P34" s="275"/>
      <c r="Q34" s="275"/>
      <c r="R34" s="302"/>
      <c r="S34" s="303"/>
      <c r="T34" s="291"/>
      <c r="U34" s="1"/>
      <c r="V34" s="1"/>
    </row>
    <row r="35" spans="1:22" ht="14.25" customHeight="1">
      <c r="A35" s="9"/>
      <c r="B35" s="267"/>
      <c r="C35" s="230"/>
      <c r="D35" s="230"/>
      <c r="E35" s="63">
        <v>1</v>
      </c>
      <c r="F35" s="316">
        <f>IFERROR(IF(FIND("+水果",總表!$D12)&gt;0,"水果",""),0)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5"/>
      <c r="L35" s="275"/>
      <c r="M35" s="275"/>
      <c r="N35" s="299"/>
      <c r="O35" s="275"/>
      <c r="P35" s="275"/>
      <c r="Q35" s="275"/>
      <c r="R35" s="302"/>
      <c r="S35" s="303"/>
      <c r="T35" s="291"/>
      <c r="U35" s="1"/>
      <c r="V35" s="1"/>
    </row>
    <row r="36" spans="1:22" ht="14.25" customHeight="1">
      <c r="A36" s="9"/>
      <c r="B36" s="267"/>
      <c r="C36" s="230"/>
      <c r="D36" s="230"/>
      <c r="E36" s="63">
        <v>2</v>
      </c>
      <c r="F36" s="306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5"/>
      <c r="L36" s="275"/>
      <c r="M36" s="275"/>
      <c r="N36" s="299"/>
      <c r="O36" s="275"/>
      <c r="P36" s="275"/>
      <c r="Q36" s="275"/>
      <c r="R36" s="302"/>
      <c r="S36" s="303"/>
      <c r="T36" s="291"/>
      <c r="U36" s="1"/>
      <c r="V36" s="1"/>
    </row>
    <row r="37" spans="1:22" ht="14.25" customHeight="1">
      <c r="A37" s="9"/>
      <c r="B37" s="267"/>
      <c r="C37" s="230"/>
      <c r="D37" s="270"/>
      <c r="E37" s="64">
        <v>3</v>
      </c>
      <c r="F37" s="307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6"/>
      <c r="L37" s="276"/>
      <c r="M37" s="276"/>
      <c r="N37" s="300"/>
      <c r="O37" s="276"/>
      <c r="P37" s="276"/>
      <c r="Q37" s="276"/>
      <c r="R37" s="302"/>
      <c r="S37" s="304"/>
      <c r="T37" s="293"/>
      <c r="U37" s="1"/>
      <c r="V37" s="5"/>
    </row>
    <row r="38" spans="1:22" ht="14.25" customHeight="1">
      <c r="A38" s="9"/>
      <c r="B38" s="267"/>
      <c r="C38" s="230"/>
      <c r="D38" s="230" t="s">
        <v>41</v>
      </c>
      <c r="E38" s="73">
        <v>1</v>
      </c>
      <c r="F38" s="308" t="str">
        <f>IFERROR(LEFT(總表!$E12,FIND("+",總表!$E12)-1),總表!$E12)</f>
        <v>大黃瓜雞湯</v>
      </c>
      <c r="G38" s="21" t="str">
        <f>IFERROR(IF(VLOOKUP($E38&amp;+$F$38,依據!$A:$C,3,FALSE)=0,"",VLOOKUP($E38&amp;+$F$38,依據!$A:$C,3,FALSE)),"")</f>
        <v>大黃瓜</v>
      </c>
      <c r="H38" s="21">
        <f>IFERROR(IF(VLOOKUP($E38&amp;+$F$38,依據!$A:$D,4,FALSE)=0,"",(VLOOKUP($E38&amp;+$F$38,依據!$A:$D,4,FALSE))),"")</f>
        <v>2.4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74">
        <v>1.2</v>
      </c>
      <c r="L38" s="277">
        <v>0</v>
      </c>
      <c r="M38" s="277">
        <v>0.5</v>
      </c>
      <c r="N38" s="298">
        <v>0</v>
      </c>
      <c r="O38" s="277">
        <v>0</v>
      </c>
      <c r="P38" s="277">
        <f>IF($F38="不供餐","",IFERROR(VLOOKUP($F38,依據!$B:Q,16,FALSE),0)+IFERROR(VLOOKUP($F41,依據!$B:Q,16,FALSE),0))</f>
        <v>0</v>
      </c>
      <c r="Q38" s="277">
        <v>0</v>
      </c>
      <c r="R38" s="301">
        <v>159</v>
      </c>
      <c r="S38" s="303"/>
      <c r="T38" s="291"/>
      <c r="U38" s="1"/>
      <c r="V38" s="1"/>
    </row>
    <row r="39" spans="1:22" ht="14.25" customHeight="1">
      <c r="A39" s="9"/>
      <c r="B39" s="267"/>
      <c r="C39" s="230"/>
      <c r="D39" s="230"/>
      <c r="E39" s="63">
        <v>2</v>
      </c>
      <c r="F39" s="309"/>
      <c r="G39" s="214" t="s">
        <v>1227</v>
      </c>
      <c r="H39" s="22">
        <f>IFERROR(IF(VLOOKUP($E39&amp;+$F$38,依據!$A:$D,4,FALSE)=0,"",(VLOOKUP($E39&amp;+$F$38,依據!$A:$D,4,FALSE))),"")</f>
        <v>2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5"/>
      <c r="L39" s="275"/>
      <c r="M39" s="275"/>
      <c r="N39" s="299"/>
      <c r="O39" s="275"/>
      <c r="P39" s="275"/>
      <c r="Q39" s="275"/>
      <c r="R39" s="302"/>
      <c r="S39" s="303"/>
      <c r="T39" s="291"/>
      <c r="U39" s="1"/>
      <c r="V39" s="1"/>
    </row>
    <row r="40" spans="1:22" ht="14.25" customHeight="1">
      <c r="A40" s="9"/>
      <c r="B40" s="267"/>
      <c r="C40" s="230"/>
      <c r="D40" s="230"/>
      <c r="E40" s="63">
        <v>3</v>
      </c>
      <c r="F40" s="310"/>
      <c r="G40" s="24" t="str">
        <f>IFERROR(IF(VLOOKUP($E40&amp;+$F$38,依據!$A:$C,3,FALSE)=0,"",VLOOKUP($E40&amp;+$F$38,依據!$A:$C,3,FALSE)),"")</f>
        <v>薑絲</v>
      </c>
      <c r="H40" s="24">
        <f>IFERROR(IF(VLOOKUP($E40&amp;+$F$38,依據!$A:$D,4,FALSE)=0,"",(VLOOKUP($E40&amp;+$F$38,依據!$A:$D,4,FALSE))),"")</f>
        <v>0.1</v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5"/>
      <c r="L40" s="275"/>
      <c r="M40" s="275"/>
      <c r="N40" s="299"/>
      <c r="O40" s="275"/>
      <c r="P40" s="275"/>
      <c r="Q40" s="275"/>
      <c r="R40" s="302"/>
      <c r="S40" s="303"/>
      <c r="T40" s="291"/>
      <c r="U40" s="1"/>
      <c r="V40" s="1"/>
    </row>
    <row r="41" spans="1:22" ht="14.25" customHeight="1">
      <c r="A41" s="9"/>
      <c r="B41" s="267"/>
      <c r="C41" s="230"/>
      <c r="D41" s="230"/>
      <c r="E41" s="63">
        <v>1</v>
      </c>
      <c r="F41" s="311">
        <f>IFERROR(IF(FIND("+",總表!$E12)&gt;0,RIGHT(總表!$E12,LEN(總表!$E12)-FIND("+",總表!$E12)),""),0)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5"/>
      <c r="L41" s="275"/>
      <c r="M41" s="275"/>
      <c r="N41" s="299"/>
      <c r="O41" s="275"/>
      <c r="P41" s="275"/>
      <c r="Q41" s="275"/>
      <c r="R41" s="302"/>
      <c r="S41" s="303"/>
      <c r="T41" s="291"/>
      <c r="U41" s="1"/>
      <c r="V41" s="1"/>
    </row>
    <row r="42" spans="1:22" ht="14.25" customHeight="1">
      <c r="A42" s="9"/>
      <c r="B42" s="267"/>
      <c r="C42" s="230"/>
      <c r="D42" s="230"/>
      <c r="E42" s="63">
        <v>2</v>
      </c>
      <c r="F42" s="312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5"/>
      <c r="L42" s="275"/>
      <c r="M42" s="275"/>
      <c r="N42" s="299"/>
      <c r="O42" s="275"/>
      <c r="P42" s="275"/>
      <c r="Q42" s="275"/>
      <c r="R42" s="302"/>
      <c r="S42" s="303"/>
      <c r="T42" s="291"/>
      <c r="U42" s="1"/>
      <c r="V42" s="1"/>
    </row>
    <row r="43" spans="1:22" ht="14.25" customHeight="1">
      <c r="A43" s="9"/>
      <c r="B43" s="268"/>
      <c r="C43" s="270"/>
      <c r="D43" s="270"/>
      <c r="E43" s="64">
        <v>3</v>
      </c>
      <c r="F43" s="313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6"/>
      <c r="L43" s="276"/>
      <c r="M43" s="276"/>
      <c r="N43" s="300"/>
      <c r="O43" s="276"/>
      <c r="P43" s="276"/>
      <c r="Q43" s="276"/>
      <c r="R43" s="302"/>
      <c r="S43" s="304"/>
      <c r="T43" s="293"/>
      <c r="U43" s="1"/>
      <c r="V43" s="1"/>
    </row>
    <row r="44" spans="1:22" ht="14.25" customHeight="1">
      <c r="A44" s="9"/>
      <c r="B44" s="314">
        <f t="shared" ref="B44" si="1">DATE(YEAR(B32),MONTH(B32),DAY(B32)+1)</f>
        <v>45267</v>
      </c>
      <c r="C44" s="315" t="s">
        <v>17</v>
      </c>
      <c r="D44" s="315" t="s">
        <v>40</v>
      </c>
      <c r="E44" s="73">
        <v>1</v>
      </c>
      <c r="F44" s="271" t="str">
        <f>LEFT(總表!$D13,IF(F47=0,LEN(總表!$D13)+3,LEN(總表!$D13)-3))</f>
        <v>南瓜絞肉粥</v>
      </c>
      <c r="G44" s="21" t="str">
        <f>IFERROR(IF(VLOOKUP($E44&amp;+$F$44,依據!$A:$C,3,FALSE)=0,"",VLOOKUP($E44&amp;+$F$44,依據!$A:$C,3,FALSE)),"")</f>
        <v>豬絞肉</v>
      </c>
      <c r="H44" s="21">
        <f>IFERROR(IF(VLOOKUP($E44&amp;+$F$44,依據!$A:$D,4,FALSE)=0,"",(VLOOKUP($E44&amp;+$F$44,依據!$A:$D,4,FALSE))),"")</f>
        <v>0.6</v>
      </c>
      <c r="I44" s="20" t="str">
        <f>IFERROR(IF(VLOOKUP($E44&amp;+$F$44,依據!$A:$E,5,FALSE)=0,"",VLOOKUP($E44&amp;+$F$44,依據!$A:$E,5,FALSE)),"")</f>
        <v>薑絲</v>
      </c>
      <c r="J44" s="34">
        <f>IFERROR(IF(VLOOKUP($E44&amp;+$F$44,依據!$A:$F,6,FALSE)=0,"",(VLOOKUP($E44&amp;+$F$44,依據!$A:$F,6,FALSE))),"")</f>
        <v>0.1</v>
      </c>
      <c r="K44" s="274">
        <f>IF($F44="不供餐","",IFERROR(VLOOKUP($F44,依據!$B:L,11,FALSE),0)+IFERROR(VLOOKUP($F47,依據!$B:L,11,FALSE),0))</f>
        <v>1.4823529411764707</v>
      </c>
      <c r="L44" s="277">
        <f>IF($F44="不供餐","",IFERROR(VLOOKUP($F44,依據!$B:M,12,FALSE),0)+IFERROR(VLOOKUP($F47,依據!$B:M,12,FALSE),0))</f>
        <v>0.34285714285714286</v>
      </c>
      <c r="M44" s="277">
        <f>IF($F44="不供餐","",IFERROR(VLOOKUP($F44,依據!$B:N,13,FALSE),0)+IFERROR(VLOOKUP($F47,依據!$B:N,13,FALSE),0))</f>
        <v>0</v>
      </c>
      <c r="N44" s="298">
        <f>IF($F44="不供餐","",IFERROR(VLOOKUP($F44,依據!$B:O,14,FALSE),0)+IFERROR(VLOOKUP($F47,依據!$B:O,14,FALSE),0))</f>
        <v>0.02</v>
      </c>
      <c r="O44" s="277">
        <f>IF($F44="不供餐","",IFERROR(VLOOKUP($F44,依據!$B:P,15,FALSE),0)+IFERROR(VLOOKUP($F47,依據!$B:P,15,FALSE),0))</f>
        <v>1.04</v>
      </c>
      <c r="P44" s="277">
        <f>IF($F44="不供餐","",IFERROR(VLOOKUP($F44,依據!$B:Q,16,FALSE),0)+IFERROR(VLOOKUP($F47,依據!$B:Q,16,FALSE),0))</f>
        <v>0</v>
      </c>
      <c r="Q44" s="277">
        <f>IF($F44="不供餐","",IFERROR(VLOOKUP($F44,依據!$B:R,17,FALSE),0)+IFERROR(VLOOKUP($F47,依據!$B:R,17,FALSE),0))</f>
        <v>0</v>
      </c>
      <c r="R44" s="301">
        <f>IF($F44="不供餐","",SUM(K44*70+L44*75+M44*120+N44*25+O44*60+P44*45+Q44*4))</f>
        <v>192.37899159663866</v>
      </c>
      <c r="S44" s="303" t="str">
        <f>_xlfn.IFS(COUNTIF($F47,"水果")=1,"水果1種",(COUNTIF($F47,"水果"))=0,"")</f>
        <v>水果1種</v>
      </c>
      <c r="T44" s="291"/>
      <c r="U44" s="1"/>
      <c r="V44" s="1"/>
    </row>
    <row r="45" spans="1:22" ht="14.25" customHeight="1">
      <c r="A45" s="9"/>
      <c r="B45" s="267"/>
      <c r="C45" s="230"/>
      <c r="D45" s="230"/>
      <c r="E45" s="63">
        <v>2</v>
      </c>
      <c r="F45" s="272"/>
      <c r="G45" s="22" t="str">
        <f>IFERROR(IF(VLOOKUP($E45&amp;+$F$44,依據!$A:$C,3,FALSE)=0,"",VLOOKUP($E45&amp;+$F$44,依據!$A:$C,3,FALSE)),"")</f>
        <v>南瓜</v>
      </c>
      <c r="H45" s="22">
        <f>IFERROR(IF(VLOOKUP($E45&amp;+$F$44,依據!$A:$D,4,FALSE)=0,"",(VLOOKUP($E45&amp;+$F$44,依據!$A:$D,4,FALSE))),"")</f>
        <v>1.2</v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75"/>
      <c r="L45" s="275"/>
      <c r="M45" s="275"/>
      <c r="N45" s="299"/>
      <c r="O45" s="275"/>
      <c r="P45" s="275"/>
      <c r="Q45" s="275"/>
      <c r="R45" s="302"/>
      <c r="S45" s="303"/>
      <c r="T45" s="291"/>
      <c r="U45" s="1"/>
      <c r="V45" s="1"/>
    </row>
    <row r="46" spans="1:22" ht="14.25" customHeight="1">
      <c r="A46" s="9"/>
      <c r="B46" s="267"/>
      <c r="C46" s="230"/>
      <c r="D46" s="230"/>
      <c r="E46" s="63">
        <v>3</v>
      </c>
      <c r="F46" s="273"/>
      <c r="G46" s="24" t="str">
        <f>IFERROR(IF(VLOOKUP($E46&amp;+$F$44,依據!$A:$C,3,FALSE)=0,"",VLOOKUP($E46&amp;+$F$44,依據!$A:$C,3,FALSE)),"")</f>
        <v>白米</v>
      </c>
      <c r="H46" s="24">
        <f>IFERROR(IF(VLOOKUP($E46&amp;+$F$44,依據!$A:$D,4,FALSE)=0,"",(VLOOKUP($E46&amp;+$F$44,依據!$A:$D,4,FALSE))),"")</f>
        <v>1.2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5"/>
      <c r="L46" s="275"/>
      <c r="M46" s="275"/>
      <c r="N46" s="299"/>
      <c r="O46" s="275"/>
      <c r="P46" s="275"/>
      <c r="Q46" s="275"/>
      <c r="R46" s="302"/>
      <c r="S46" s="303"/>
      <c r="T46" s="291"/>
      <c r="U46" s="1"/>
      <c r="V46" s="1"/>
    </row>
    <row r="47" spans="1:22" ht="14.25" customHeight="1">
      <c r="A47" s="9"/>
      <c r="B47" s="267"/>
      <c r="C47" s="230"/>
      <c r="D47" s="230"/>
      <c r="E47" s="63">
        <v>1</v>
      </c>
      <c r="F47" s="316" t="str">
        <f>IFERROR(IF(FIND("+水果",總表!$D13)&gt;0,"水果",""),0)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1249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5"/>
      <c r="L47" s="275"/>
      <c r="M47" s="275"/>
      <c r="N47" s="299"/>
      <c r="O47" s="275"/>
      <c r="P47" s="275"/>
      <c r="Q47" s="275"/>
      <c r="R47" s="302"/>
      <c r="S47" s="303"/>
      <c r="T47" s="291"/>
      <c r="U47" s="1"/>
      <c r="V47" s="1"/>
    </row>
    <row r="48" spans="1:22" ht="14.25" customHeight="1">
      <c r="A48" s="9"/>
      <c r="B48" s="267"/>
      <c r="C48" s="230"/>
      <c r="D48" s="230"/>
      <c r="E48" s="63">
        <v>2</v>
      </c>
      <c r="F48" s="306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5"/>
      <c r="L48" s="275"/>
      <c r="M48" s="275"/>
      <c r="N48" s="299"/>
      <c r="O48" s="275"/>
      <c r="P48" s="275"/>
      <c r="Q48" s="275"/>
      <c r="R48" s="302"/>
      <c r="S48" s="303"/>
      <c r="T48" s="291"/>
      <c r="U48" s="1"/>
      <c r="V48" s="1"/>
    </row>
    <row r="49" spans="1:23" ht="14.25" customHeight="1">
      <c r="A49" s="9"/>
      <c r="B49" s="267"/>
      <c r="C49" s="230"/>
      <c r="D49" s="270"/>
      <c r="E49" s="64">
        <v>3</v>
      </c>
      <c r="F49" s="307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6"/>
      <c r="L49" s="276"/>
      <c r="M49" s="276"/>
      <c r="N49" s="300"/>
      <c r="O49" s="276"/>
      <c r="P49" s="276"/>
      <c r="Q49" s="276"/>
      <c r="R49" s="302"/>
      <c r="S49" s="304"/>
      <c r="T49" s="293"/>
      <c r="U49" s="1"/>
      <c r="V49" s="1"/>
    </row>
    <row r="50" spans="1:23" ht="14.25" customHeight="1">
      <c r="A50" s="9"/>
      <c r="B50" s="267"/>
      <c r="C50" s="230"/>
      <c r="D50" s="230" t="s">
        <v>41</v>
      </c>
      <c r="E50" s="73">
        <v>1</v>
      </c>
      <c r="F50" s="308" t="str">
        <f>IFERROR(LEFT(總表!$E13,FIND("+",總表!$E13)-1),總表!$E13)</f>
        <v>燒賣</v>
      </c>
      <c r="G50" s="21" t="str">
        <f>IFERROR(IF(VLOOKUP($E50&amp;+$F$50,依據!$A:$C,3,FALSE)=0,"",VLOOKUP($E50&amp;+$F$50,依據!$A:$C,3,FALSE)),"")</f>
        <v>燒賣</v>
      </c>
      <c r="H50" s="21" t="s">
        <v>1253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74">
        <v>2</v>
      </c>
      <c r="L50" s="277">
        <v>1</v>
      </c>
      <c r="M50" s="277">
        <v>0</v>
      </c>
      <c r="N50" s="298">
        <v>0</v>
      </c>
      <c r="O50" s="277">
        <v>0</v>
      </c>
      <c r="P50" s="277">
        <v>1</v>
      </c>
      <c r="Q50" s="277">
        <f>IF($F50="不供餐","",IFERROR(VLOOKUP($F50,依據!$B:R,17,FALSE),0)+IFERROR(VLOOKUP($F53,依據!$B:R,17,FALSE),0))</f>
        <v>0</v>
      </c>
      <c r="R50" s="301">
        <f>IF($F50="不供餐","",SUM(K50*70+L50*75+M50*120+N50*25+O50*60+P50*45+Q50*4))</f>
        <v>260</v>
      </c>
      <c r="S50" s="303"/>
      <c r="T50" s="291"/>
      <c r="U50" s="1"/>
      <c r="V50" s="1"/>
    </row>
    <row r="51" spans="1:23" ht="14.25" customHeight="1">
      <c r="A51" s="9"/>
      <c r="B51" s="267"/>
      <c r="C51" s="230"/>
      <c r="D51" s="230"/>
      <c r="E51" s="63">
        <v>2</v>
      </c>
      <c r="F51" s="309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5"/>
      <c r="L51" s="275"/>
      <c r="M51" s="275"/>
      <c r="N51" s="299"/>
      <c r="O51" s="275"/>
      <c r="P51" s="275"/>
      <c r="Q51" s="275"/>
      <c r="R51" s="302"/>
      <c r="S51" s="303"/>
      <c r="T51" s="291"/>
      <c r="U51" s="1"/>
      <c r="V51" s="1"/>
    </row>
    <row r="52" spans="1:23" ht="14.25" customHeight="1">
      <c r="A52" s="9"/>
      <c r="B52" s="267"/>
      <c r="C52" s="230"/>
      <c r="D52" s="230"/>
      <c r="E52" s="63">
        <v>3</v>
      </c>
      <c r="F52" s="310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5"/>
      <c r="L52" s="275"/>
      <c r="M52" s="275"/>
      <c r="N52" s="299"/>
      <c r="O52" s="275"/>
      <c r="P52" s="275"/>
      <c r="Q52" s="275"/>
      <c r="R52" s="302"/>
      <c r="S52" s="303"/>
      <c r="T52" s="291"/>
      <c r="U52" s="1"/>
      <c r="V52" s="1"/>
    </row>
    <row r="53" spans="1:23" ht="14.25" customHeight="1">
      <c r="A53" s="9"/>
      <c r="B53" s="267"/>
      <c r="C53" s="230"/>
      <c r="D53" s="230"/>
      <c r="E53" s="63">
        <v>1</v>
      </c>
      <c r="F53" s="311" t="str">
        <f>IFERROR(IF(FIND("+",總表!$E13)&gt;0,RIGHT(總表!$E13,LEN(總表!$E13)-FIND("+",總表!$E13)),""),0)</f>
        <v>麥茶</v>
      </c>
      <c r="G53" s="21" t="str">
        <f>IFERROR(IF(VLOOKUP($E53&amp;+$F$53,依據!$A:$C,3,FALSE)=0,"",VLOOKUP($E53&amp;+$F$53,依據!$A:$C,3,FALSE)),"")</f>
        <v>麥茶包</v>
      </c>
      <c r="H53" s="21" t="str">
        <f>IFERROR(IF(VLOOKUP($E53&amp;+$F$53,依據!$A:$D,4,FALSE)=0,"",(VLOOKUP($E53&amp;+$F$53,依據!$A:$D,4,FALSE))),"")</f>
        <v>1包</v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5"/>
      <c r="L53" s="275"/>
      <c r="M53" s="275"/>
      <c r="N53" s="299"/>
      <c r="O53" s="275"/>
      <c r="P53" s="275"/>
      <c r="Q53" s="275"/>
      <c r="R53" s="302"/>
      <c r="S53" s="303"/>
      <c r="T53" s="291"/>
      <c r="U53" s="1"/>
      <c r="V53" s="1"/>
    </row>
    <row r="54" spans="1:23" ht="14.25" customHeight="1">
      <c r="A54" s="9"/>
      <c r="B54" s="267"/>
      <c r="C54" s="230"/>
      <c r="D54" s="230"/>
      <c r="E54" s="63">
        <v>2</v>
      </c>
      <c r="F54" s="312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5"/>
      <c r="L54" s="275"/>
      <c r="M54" s="275"/>
      <c r="N54" s="299"/>
      <c r="O54" s="275"/>
      <c r="P54" s="275"/>
      <c r="Q54" s="275"/>
      <c r="R54" s="302"/>
      <c r="S54" s="303"/>
      <c r="T54" s="291"/>
      <c r="U54" s="1"/>
      <c r="V54" s="1"/>
    </row>
    <row r="55" spans="1:23" ht="14.25" customHeight="1">
      <c r="A55" s="9"/>
      <c r="B55" s="268"/>
      <c r="C55" s="270"/>
      <c r="D55" s="270"/>
      <c r="E55" s="64">
        <v>3</v>
      </c>
      <c r="F55" s="313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6"/>
      <c r="L55" s="276"/>
      <c r="M55" s="276"/>
      <c r="N55" s="300"/>
      <c r="O55" s="276"/>
      <c r="P55" s="276"/>
      <c r="Q55" s="276"/>
      <c r="R55" s="302"/>
      <c r="S55" s="304"/>
      <c r="T55" s="293"/>
      <c r="U55" s="1"/>
      <c r="V55" s="1"/>
    </row>
    <row r="56" spans="1:23" ht="14.25" customHeight="1">
      <c r="A56" s="9"/>
      <c r="B56" s="314">
        <f t="shared" ref="B56" si="2">DATE(YEAR(B44),MONTH(B44),DAY(B44)+1)</f>
        <v>45268</v>
      </c>
      <c r="C56" s="282" t="s">
        <v>18</v>
      </c>
      <c r="D56" s="315" t="s">
        <v>40</v>
      </c>
      <c r="E56" s="73">
        <v>1</v>
      </c>
      <c r="F56" s="271" t="str">
        <f>LEFT(總表!$D14,IF(F59=0,LEN(總表!$D14)+3,LEN(總表!$D14)-3))</f>
        <v>鍋貼</v>
      </c>
      <c r="G56" s="21" t="str">
        <f>IFERROR(IF(VLOOKUP($E56&amp;+$F$56,依據!$A:$C,3,FALSE)=0,"",VLOOKUP($E56&amp;+$F$56,依據!$A:$C,3,FALSE)),"")</f>
        <v>鍋貼</v>
      </c>
      <c r="H56" s="21" t="s">
        <v>1252</v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74">
        <f>IF($F56="不供餐","",IFERROR(VLOOKUP($F56,依據!$B:L,11,FALSE),0)+IFERROR(VLOOKUP($F59,依據!$B:L,11,FALSE),0))</f>
        <v>0.76960000000000006</v>
      </c>
      <c r="L56" s="277">
        <f>IF($F56="不供餐","",IFERROR(VLOOKUP($F56,依據!$B:M,12,FALSE),0)+IFERROR(VLOOKUP($F59,依據!$B:M,12,FALSE),0))</f>
        <v>0.35360000000000003</v>
      </c>
      <c r="M56" s="277">
        <f>IF($F56="不供餐","",IFERROR(VLOOKUP($F56,依據!$B:N,13,FALSE),0)+IFERROR(VLOOKUP($F59,依據!$B:N,13,FALSE),0))</f>
        <v>0</v>
      </c>
      <c r="N56" s="298">
        <f>IF($F56="不供餐","",IFERROR(VLOOKUP($F56,依據!$B:O,14,FALSE),0)+IFERROR(VLOOKUP($F59,依據!$B:O,14,FALSE),0))</f>
        <v>0</v>
      </c>
      <c r="O56" s="277">
        <f>IF($F56="不供餐","",IFERROR(VLOOKUP($F56,依據!$B:P,15,FALSE),0)+IFERROR(VLOOKUP($F59,依據!$B:P,15,FALSE),0))</f>
        <v>1.04</v>
      </c>
      <c r="P56" s="277">
        <f>IF($F56="不供餐","",IFERROR(VLOOKUP($F56,依據!$B:Q,16,FALSE),0)+IFERROR(VLOOKUP($F59,依據!$B:Q,16,FALSE),0))</f>
        <v>1.456</v>
      </c>
      <c r="Q56" s="277">
        <f>IF($F56="不供餐","",IFERROR(VLOOKUP($F56,依據!$B:R,17,FALSE),0)+IFERROR(VLOOKUP($F59,依據!$B:R,17,FALSE),0))</f>
        <v>0</v>
      </c>
      <c r="R56" s="301">
        <f>IF($F56="不供餐","",SUM(K56*70+L56*75+M56*120+N56*25+O56*60+P56*45+Q56*4))</f>
        <v>208.31200000000001</v>
      </c>
      <c r="S56" s="303" t="str">
        <f>_xlfn.IFS(COUNTIF($F59,"水果")=1,"水果1種",(COUNTIF($F59,"水果"))=0,"")</f>
        <v>水果1種</v>
      </c>
      <c r="T56" s="291"/>
      <c r="U56" s="1"/>
      <c r="V56" s="1"/>
    </row>
    <row r="57" spans="1:23" ht="14.25" customHeight="1">
      <c r="A57" s="9"/>
      <c r="B57" s="267"/>
      <c r="C57" s="283"/>
      <c r="D57" s="230"/>
      <c r="E57" s="63">
        <v>2</v>
      </c>
      <c r="F57" s="272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5"/>
      <c r="L57" s="275"/>
      <c r="M57" s="275"/>
      <c r="N57" s="299"/>
      <c r="O57" s="275"/>
      <c r="P57" s="275"/>
      <c r="Q57" s="275"/>
      <c r="R57" s="302"/>
      <c r="S57" s="303"/>
      <c r="T57" s="291"/>
      <c r="U57" s="1"/>
      <c r="V57" s="1"/>
      <c r="W57" s="16"/>
    </row>
    <row r="58" spans="1:23" ht="14.25" customHeight="1">
      <c r="A58" s="9"/>
      <c r="B58" s="267"/>
      <c r="C58" s="283"/>
      <c r="D58" s="230"/>
      <c r="E58" s="63">
        <v>3</v>
      </c>
      <c r="F58" s="273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5"/>
      <c r="L58" s="275"/>
      <c r="M58" s="275"/>
      <c r="N58" s="299"/>
      <c r="O58" s="275"/>
      <c r="P58" s="275"/>
      <c r="Q58" s="275"/>
      <c r="R58" s="302"/>
      <c r="S58" s="303"/>
      <c r="T58" s="291"/>
      <c r="U58" s="1"/>
      <c r="V58" s="1"/>
    </row>
    <row r="59" spans="1:23" ht="14.25" customHeight="1">
      <c r="A59" s="9"/>
      <c r="B59" s="267"/>
      <c r="C59" s="283"/>
      <c r="D59" s="230"/>
      <c r="E59" s="63">
        <v>1</v>
      </c>
      <c r="F59" s="316" t="str">
        <f>IFERROR(IF(FIND("+水果",總表!$D14)&gt;0,"水果",""),0)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1249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5"/>
      <c r="L59" s="275"/>
      <c r="M59" s="275"/>
      <c r="N59" s="299"/>
      <c r="O59" s="275"/>
      <c r="P59" s="275"/>
      <c r="Q59" s="275"/>
      <c r="R59" s="302"/>
      <c r="S59" s="303"/>
      <c r="T59" s="291"/>
      <c r="U59" s="1"/>
      <c r="V59" s="1"/>
    </row>
    <row r="60" spans="1:23" ht="14.25" customHeight="1">
      <c r="A60" s="9"/>
      <c r="B60" s="267"/>
      <c r="C60" s="283"/>
      <c r="D60" s="230"/>
      <c r="E60" s="63">
        <v>2</v>
      </c>
      <c r="F60" s="306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5"/>
      <c r="L60" s="275"/>
      <c r="M60" s="275"/>
      <c r="N60" s="299"/>
      <c r="O60" s="275"/>
      <c r="P60" s="275"/>
      <c r="Q60" s="275"/>
      <c r="R60" s="302"/>
      <c r="S60" s="303"/>
      <c r="T60" s="291"/>
      <c r="U60" s="1"/>
      <c r="V60" s="1"/>
    </row>
    <row r="61" spans="1:23" ht="14.25" customHeight="1">
      <c r="A61" s="9"/>
      <c r="B61" s="267"/>
      <c r="C61" s="283"/>
      <c r="D61" s="270"/>
      <c r="E61" s="64">
        <v>3</v>
      </c>
      <c r="F61" s="307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6"/>
      <c r="L61" s="276"/>
      <c r="M61" s="276"/>
      <c r="N61" s="300"/>
      <c r="O61" s="276"/>
      <c r="P61" s="276"/>
      <c r="Q61" s="276"/>
      <c r="R61" s="302"/>
      <c r="S61" s="304"/>
      <c r="T61" s="293"/>
      <c r="U61" s="1"/>
      <c r="V61" s="1"/>
    </row>
    <row r="62" spans="1:23" ht="14.25" customHeight="1">
      <c r="A62" s="9"/>
      <c r="B62" s="267"/>
      <c r="C62" s="283"/>
      <c r="D62" s="230" t="s">
        <v>41</v>
      </c>
      <c r="E62" s="73">
        <v>1</v>
      </c>
      <c r="F62" s="335" t="str">
        <f>IFERROR(LEFT(總表!$E14,FIND("+",總表!$E14)-1),總表!$E14)</f>
        <v>銀耳羹</v>
      </c>
      <c r="G62" s="21" t="str">
        <f>IFERROR(IF(VLOOKUP($E62&amp;+$F$62,依據!$A:$C,3,FALSE)=0,"",VLOOKUP($E62&amp;+$F$62,依據!$A:$C,3,FALSE)),"")</f>
        <v>白木耳</v>
      </c>
      <c r="H62" s="21">
        <f>IFERROR(IF(VLOOKUP($E62&amp;+$F$62,依據!$A:$D,4,FALSE)=0,"",(VLOOKUP($E62&amp;+$F$62,依據!$A:$D,4,FALSE))),"")</f>
        <v>0.1</v>
      </c>
      <c r="I62" s="20"/>
      <c r="J62" s="34">
        <f>IFERROR(IF(VLOOKUP($E62&amp;+$F$62,依據!$A:$F,6,FALSE)=0,"",(VLOOKUP($E62&amp;+$F$62,依據!$A:$F,6,FALSE))),"")</f>
        <v>1</v>
      </c>
      <c r="K62" s="274">
        <f>IF($F62="不供餐","",IFERROR(VLOOKUP($F62,依據!$B:L,11,FALSE),0)+IFERROR(VLOOKUP($F65,依據!$B:L,11,FALSE),0))</f>
        <v>0</v>
      </c>
      <c r="L62" s="277">
        <f>IF($F62="不供餐","",IFERROR(VLOOKUP($F62,依據!$B:M,12,FALSE),0)+IFERROR(VLOOKUP($F65,依據!$B:M,12,FALSE),0))</f>
        <v>0</v>
      </c>
      <c r="M62" s="277">
        <f>IF($F62="不供餐","",IFERROR(VLOOKUP($F62,依據!$B:N,13,FALSE),0)+IFERROR(VLOOKUP($F65,依據!$B:N,13,FALSE),0))</f>
        <v>0</v>
      </c>
      <c r="N62" s="298">
        <f>IF($F62="不供餐","",IFERROR(VLOOKUP($F62,依據!$B:O,14,FALSE),0)+IFERROR(VLOOKUP($F65,依據!$B:O,14,FALSE),0))</f>
        <v>0</v>
      </c>
      <c r="O62" s="277">
        <f>IF($F62="不供餐","",IFERROR(VLOOKUP($F62,依據!$B:P,15,FALSE),0)+IFERROR(VLOOKUP($F65,依據!$B:P,15,FALSE),0))</f>
        <v>0</v>
      </c>
      <c r="P62" s="277">
        <f>IF($F62="不供餐","",IFERROR(VLOOKUP($F62,依據!$B:Q,16,FALSE),0)+IFERROR(VLOOKUP($F65,依據!$B:Q,16,FALSE),0))</f>
        <v>0</v>
      </c>
      <c r="Q62" s="277">
        <f>IF($F62="不供餐","",IFERROR(VLOOKUP($F62,依據!$B:R,17,FALSE),0)+IFERROR(VLOOKUP($F65,依據!$B:R,17,FALSE),0))</f>
        <v>20</v>
      </c>
      <c r="R62" s="317">
        <f>IF($F62="不供餐","",SUM(K62*70+L62*75+M62*120+N62*25+O62*60+P62*45+Q62*4))</f>
        <v>80</v>
      </c>
      <c r="S62" s="303" t="str">
        <f>_xlfn.IFS(COUNTIF($F62,"水果拼盤")=1,"水果3種",(COUNTIF($F62,"水果拼盤"))=0,"")</f>
        <v/>
      </c>
      <c r="T62" s="291"/>
      <c r="U62" s="1"/>
      <c r="V62" s="1"/>
    </row>
    <row r="63" spans="1:23" ht="14.25" customHeight="1">
      <c r="A63" s="9"/>
      <c r="B63" s="267"/>
      <c r="C63" s="283"/>
      <c r="D63" s="230"/>
      <c r="E63" s="63">
        <v>2</v>
      </c>
      <c r="F63" s="309"/>
      <c r="G63" s="22" t="str">
        <f>IFERROR(IF(VLOOKUP($E63&amp;+$F$62,依據!$A:$C,3,FALSE)=0,"",VLOOKUP($E63&amp;+$F$62,依據!$A:$C,3,FALSE)),"")</f>
        <v>枸杞</v>
      </c>
      <c r="H63" s="22">
        <f>IFERROR(IF(VLOOKUP($E63&amp;+$F$62,依據!$A:$D,4,FALSE)=0,"",(VLOOKUP($E63&amp;+$F$62,依據!$A:$D,4,FALSE))),"")</f>
        <v>0.1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5"/>
      <c r="L63" s="275"/>
      <c r="M63" s="275"/>
      <c r="N63" s="299"/>
      <c r="O63" s="275"/>
      <c r="P63" s="275"/>
      <c r="Q63" s="275"/>
      <c r="R63" s="302"/>
      <c r="S63" s="303"/>
      <c r="T63" s="291"/>
      <c r="U63" s="1"/>
      <c r="V63" s="1"/>
    </row>
    <row r="64" spans="1:23" ht="14.25" customHeight="1">
      <c r="A64" s="9"/>
      <c r="B64" s="267"/>
      <c r="C64" s="283"/>
      <c r="D64" s="230"/>
      <c r="E64" s="63">
        <v>3</v>
      </c>
      <c r="F64" s="310"/>
      <c r="G64" s="24" t="str">
        <f>IFERROR(IF(VLOOKUP($E64&amp;+$F$62,依據!$A:$C,3,FALSE)=0,"",VLOOKUP($E64&amp;+$F$62,依據!$A:$C,3,FALSE)),"")</f>
        <v>紅棗</v>
      </c>
      <c r="H64" s="24">
        <f>IFERROR(IF(VLOOKUP($E64&amp;+$F$62,依據!$A:$D,4,FALSE)=0,"",(VLOOKUP($E64&amp;+$F$62,依據!$A:$D,4,FALSE))),"")</f>
        <v>0.2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5"/>
      <c r="L64" s="275"/>
      <c r="M64" s="275"/>
      <c r="N64" s="299"/>
      <c r="O64" s="275"/>
      <c r="P64" s="275"/>
      <c r="Q64" s="275"/>
      <c r="R64" s="302"/>
      <c r="S64" s="303"/>
      <c r="T64" s="291"/>
      <c r="U64" s="1"/>
      <c r="V64" s="1"/>
    </row>
    <row r="65" spans="1:23" ht="14.25" customHeight="1">
      <c r="A65" s="9"/>
      <c r="B65" s="267"/>
      <c r="C65" s="283"/>
      <c r="D65" s="230"/>
      <c r="E65" s="63">
        <v>1</v>
      </c>
      <c r="F65" s="311">
        <f>IFERROR(IF(FIND("+",總表!$E14)&gt;0,RIGHT(總表!$E14,LEN(總表!$E14)-FIND("+",總表!$E14)),""),0)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5"/>
      <c r="L65" s="275"/>
      <c r="M65" s="275"/>
      <c r="N65" s="299"/>
      <c r="O65" s="275"/>
      <c r="P65" s="275"/>
      <c r="Q65" s="275"/>
      <c r="R65" s="302"/>
      <c r="S65" s="303"/>
      <c r="T65" s="291"/>
      <c r="U65" s="1"/>
      <c r="V65" s="1"/>
    </row>
    <row r="66" spans="1:23" ht="14.25" customHeight="1">
      <c r="A66" s="9"/>
      <c r="B66" s="267"/>
      <c r="C66" s="283"/>
      <c r="D66" s="230"/>
      <c r="E66" s="63">
        <v>2</v>
      </c>
      <c r="F66" s="312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5"/>
      <c r="L66" s="275"/>
      <c r="M66" s="275"/>
      <c r="N66" s="299"/>
      <c r="O66" s="275"/>
      <c r="P66" s="275"/>
      <c r="Q66" s="275"/>
      <c r="R66" s="302"/>
      <c r="S66" s="303"/>
      <c r="T66" s="291"/>
      <c r="U66" s="1"/>
      <c r="V66" s="1"/>
    </row>
    <row r="67" spans="1:23" ht="14.25" customHeight="1">
      <c r="A67" s="9"/>
      <c r="B67" s="268"/>
      <c r="C67" s="284"/>
      <c r="D67" s="270"/>
      <c r="E67" s="64">
        <v>3</v>
      </c>
      <c r="F67" s="313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6"/>
      <c r="L67" s="276"/>
      <c r="M67" s="276"/>
      <c r="N67" s="300"/>
      <c r="O67" s="276"/>
      <c r="P67" s="276"/>
      <c r="Q67" s="276"/>
      <c r="R67" s="318"/>
      <c r="S67" s="304"/>
      <c r="T67" s="293"/>
      <c r="U67" s="1"/>
      <c r="V67" s="1"/>
    </row>
    <row r="68" spans="1:23" ht="14.25" hidden="1" customHeight="1">
      <c r="A68" s="9"/>
      <c r="B68" s="314">
        <f t="shared" ref="B68" si="3">DATE(YEAR(B56),MONTH(B56),DAY(B56)+1)</f>
        <v>45269</v>
      </c>
      <c r="C68" s="282" t="s">
        <v>103</v>
      </c>
      <c r="D68" s="315" t="s">
        <v>40</v>
      </c>
      <c r="E68" s="73">
        <v>1</v>
      </c>
      <c r="F68" s="271" t="str">
        <f>LEFT(總表!$D15,IF(F71=0,LEN(總表!$D15)+3,LEN(總表!$D15)-3))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74">
        <f>IF($F68="不供餐","",IFERROR(VLOOKUP($F68,依據!$B:L,11,FALSE),0)+IFERROR(VLOOKUP($F71,依據!$B:L,11,FALSE),0))</f>
        <v>0</v>
      </c>
      <c r="L68" s="277">
        <f>IF($F68="不供餐","",IFERROR(VLOOKUP($F68,依據!$B:M,12,FALSE),0)+IFERROR(VLOOKUP($F71,依據!$B:M,12,FALSE),0))</f>
        <v>0</v>
      </c>
      <c r="M68" s="277">
        <f>IF($F68="不供餐","",IFERROR(VLOOKUP($F68,依據!$B:N,13,FALSE),0)+IFERROR(VLOOKUP($F71,依據!$B:N,13,FALSE),0))</f>
        <v>0</v>
      </c>
      <c r="N68" s="298">
        <f>IF($F68="不供餐","",IFERROR(VLOOKUP($F68,依據!$B:O,14,FALSE),0)+IFERROR(VLOOKUP($F71,依據!$B:O,14,FALSE),0))</f>
        <v>0</v>
      </c>
      <c r="O68" s="277">
        <f>IF($F68="不供餐","",IFERROR(VLOOKUP($F68,依據!$B:P,15,FALSE),0)+IFERROR(VLOOKUP($F71,依據!$B:P,15,FALSE),0))</f>
        <v>0</v>
      </c>
      <c r="P68" s="277">
        <f>IF($F68="不供餐","",IFERROR(VLOOKUP($F68,依據!$B:Q,16,FALSE),0)+IFERROR(VLOOKUP($F71,依據!$B:Q,16,FALSE),0))</f>
        <v>0</v>
      </c>
      <c r="Q68" s="277">
        <f>IF($F68="不供餐","",IFERROR(VLOOKUP($F68,依據!$B:R,17,FALSE),0)+IFERROR(VLOOKUP($F71,依據!$B:R,17,FALSE),0))</f>
        <v>0</v>
      </c>
      <c r="R68" s="301">
        <f>IF($F68="不供餐","",SUM(K68*70+L68*75+M68*120+N68*25+O68*60+P68*45+Q68*4))</f>
        <v>0</v>
      </c>
      <c r="S68" s="303" t="str">
        <f>_xlfn.IFS(COUNTIF($F71,"水果")=1,"水果1種",(COUNTIF($F71,"水果"))=0,"")</f>
        <v/>
      </c>
      <c r="T68" s="291"/>
      <c r="U68" s="1"/>
      <c r="V68" s="1"/>
    </row>
    <row r="69" spans="1:23" ht="14.25" hidden="1" customHeight="1">
      <c r="A69" s="9"/>
      <c r="B69" s="267"/>
      <c r="C69" s="283"/>
      <c r="D69" s="230"/>
      <c r="E69" s="63">
        <v>2</v>
      </c>
      <c r="F69" s="272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5"/>
      <c r="L69" s="275"/>
      <c r="M69" s="275"/>
      <c r="N69" s="299"/>
      <c r="O69" s="275"/>
      <c r="P69" s="275"/>
      <c r="Q69" s="275"/>
      <c r="R69" s="302"/>
      <c r="S69" s="303"/>
      <c r="T69" s="291"/>
      <c r="U69" s="1"/>
      <c r="V69" s="1"/>
      <c r="W69" s="16"/>
    </row>
    <row r="70" spans="1:23" ht="14.25" hidden="1" customHeight="1">
      <c r="A70" s="9"/>
      <c r="B70" s="267"/>
      <c r="C70" s="283"/>
      <c r="D70" s="230"/>
      <c r="E70" s="63">
        <v>3</v>
      </c>
      <c r="F70" s="273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5"/>
      <c r="L70" s="275"/>
      <c r="M70" s="275"/>
      <c r="N70" s="299"/>
      <c r="O70" s="275"/>
      <c r="P70" s="275"/>
      <c r="Q70" s="275"/>
      <c r="R70" s="302"/>
      <c r="S70" s="303"/>
      <c r="T70" s="291"/>
      <c r="U70" s="1"/>
      <c r="V70" s="1"/>
    </row>
    <row r="71" spans="1:23" ht="14.25" hidden="1" customHeight="1">
      <c r="A71" s="9"/>
      <c r="B71" s="267"/>
      <c r="C71" s="283"/>
      <c r="D71" s="230"/>
      <c r="E71" s="63">
        <v>1</v>
      </c>
      <c r="F71" s="316">
        <f>IFERROR(IF(FIND("+水果",總表!$D15)&gt;0,"水果",""),0)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5"/>
      <c r="L71" s="275"/>
      <c r="M71" s="275"/>
      <c r="N71" s="299"/>
      <c r="O71" s="275"/>
      <c r="P71" s="275"/>
      <c r="Q71" s="275"/>
      <c r="R71" s="302"/>
      <c r="S71" s="303"/>
      <c r="T71" s="291"/>
      <c r="U71" s="1"/>
      <c r="V71" s="1"/>
    </row>
    <row r="72" spans="1:23" ht="14.25" hidden="1" customHeight="1">
      <c r="A72" s="9"/>
      <c r="B72" s="267"/>
      <c r="C72" s="283"/>
      <c r="D72" s="230"/>
      <c r="E72" s="63">
        <v>2</v>
      </c>
      <c r="F72" s="306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5"/>
      <c r="L72" s="275"/>
      <c r="M72" s="275"/>
      <c r="N72" s="299"/>
      <c r="O72" s="275"/>
      <c r="P72" s="275"/>
      <c r="Q72" s="275"/>
      <c r="R72" s="302"/>
      <c r="S72" s="303"/>
      <c r="T72" s="291"/>
      <c r="U72" s="1"/>
      <c r="V72" s="1"/>
    </row>
    <row r="73" spans="1:23" ht="14.25" hidden="1" customHeight="1">
      <c r="A73" s="9"/>
      <c r="B73" s="267"/>
      <c r="C73" s="283"/>
      <c r="D73" s="270"/>
      <c r="E73" s="64">
        <v>3</v>
      </c>
      <c r="F73" s="307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6"/>
      <c r="L73" s="276"/>
      <c r="M73" s="276"/>
      <c r="N73" s="300"/>
      <c r="O73" s="276"/>
      <c r="P73" s="276"/>
      <c r="Q73" s="276"/>
      <c r="R73" s="302"/>
      <c r="S73" s="304"/>
      <c r="T73" s="293"/>
      <c r="U73" s="1"/>
      <c r="V73" s="1"/>
    </row>
    <row r="74" spans="1:23" ht="14.25" hidden="1" customHeight="1">
      <c r="A74" s="9"/>
      <c r="B74" s="267"/>
      <c r="C74" s="283"/>
      <c r="D74" s="230" t="s">
        <v>41</v>
      </c>
      <c r="E74" s="73">
        <v>1</v>
      </c>
      <c r="F74" s="308">
        <f>IFERROR(LEFT(總表!$E15,FIND("+",總表!$E15)-1),總表!$E15)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74">
        <f>IF($F74="不供餐","",IFERROR(VLOOKUP($F74,依據!$B:L,11,FALSE),0)+IFERROR(VLOOKUP($F77,依據!$B:L,11,FALSE),0))</f>
        <v>0</v>
      </c>
      <c r="L74" s="277">
        <f>IF($F74="不供餐","",IFERROR(VLOOKUP($F74,依據!$B:M,12,FALSE),0)+IFERROR(VLOOKUP($F77,依據!$B:M,12,FALSE),0))</f>
        <v>0</v>
      </c>
      <c r="M74" s="277">
        <f>IF($F74="不供餐","",IFERROR(VLOOKUP($F74,依據!$B:N,13,FALSE),0)+IFERROR(VLOOKUP($F77,依據!$B:N,13,FALSE),0))</f>
        <v>0</v>
      </c>
      <c r="N74" s="298">
        <f>IF($F74="不供餐","",IFERROR(VLOOKUP($F74,依據!$B:O,14,FALSE),0)+IFERROR(VLOOKUP($F77,依據!$B:O,14,FALSE),0))</f>
        <v>0</v>
      </c>
      <c r="O74" s="277">
        <f>IF($F74="不供餐","",IFERROR(VLOOKUP($F74,依據!$B:P,15,FALSE),0)+IFERROR(VLOOKUP($F77,依據!$B:P,15,FALSE),0))</f>
        <v>0</v>
      </c>
      <c r="P74" s="277">
        <f>IF($F74="不供餐","",IFERROR(VLOOKUP($F74,依據!$B:Q,16,FALSE),0)+IFERROR(VLOOKUP($F77,依據!$B:Q,16,FALSE),0))</f>
        <v>0</v>
      </c>
      <c r="Q74" s="277">
        <f>IF($F74="不供餐","",IFERROR(VLOOKUP($F74,依據!$B:R,17,FALSE),0)+IFERROR(VLOOKUP($F77,依據!$B:R,17,FALSE),0))</f>
        <v>0</v>
      </c>
      <c r="R74" s="301">
        <f>IF($F74="不供餐","",SUM(K74*70+L74*75+M74*120+N74*25+O74*60+P74*45+Q74*4))</f>
        <v>0</v>
      </c>
      <c r="S74" s="303" t="str">
        <f>_xlfn.IFS(COUNTIF($F74,"水果拼盤")=1,"水果3種",(COUNTIF($F74,"水果拼盤"))=0,"")</f>
        <v/>
      </c>
      <c r="T74" s="291"/>
      <c r="U74" s="1"/>
      <c r="V74" s="1"/>
    </row>
    <row r="75" spans="1:23" ht="14.25" hidden="1" customHeight="1">
      <c r="A75" s="9"/>
      <c r="B75" s="267"/>
      <c r="C75" s="283"/>
      <c r="D75" s="230"/>
      <c r="E75" s="63">
        <v>2</v>
      </c>
      <c r="F75" s="309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5"/>
      <c r="L75" s="275"/>
      <c r="M75" s="275"/>
      <c r="N75" s="299"/>
      <c r="O75" s="275"/>
      <c r="P75" s="275"/>
      <c r="Q75" s="275"/>
      <c r="R75" s="302"/>
      <c r="S75" s="303"/>
      <c r="T75" s="291"/>
      <c r="U75" s="1"/>
      <c r="V75" s="1"/>
    </row>
    <row r="76" spans="1:23" ht="14.25" hidden="1" customHeight="1">
      <c r="A76" s="9"/>
      <c r="B76" s="267"/>
      <c r="C76" s="283"/>
      <c r="D76" s="230"/>
      <c r="E76" s="63">
        <v>3</v>
      </c>
      <c r="F76" s="310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5"/>
      <c r="L76" s="275"/>
      <c r="M76" s="275"/>
      <c r="N76" s="299"/>
      <c r="O76" s="275"/>
      <c r="P76" s="275"/>
      <c r="Q76" s="275"/>
      <c r="R76" s="302"/>
      <c r="S76" s="303"/>
      <c r="T76" s="291"/>
      <c r="U76" s="1"/>
      <c r="V76" s="1"/>
    </row>
    <row r="77" spans="1:23" ht="14.25" hidden="1" customHeight="1">
      <c r="A77" s="9"/>
      <c r="B77" s="267"/>
      <c r="C77" s="283"/>
      <c r="D77" s="230"/>
      <c r="E77" s="63">
        <v>1</v>
      </c>
      <c r="F77" s="311">
        <f>IFERROR(IF(FIND("+",總表!$E15)&gt;0,RIGHT(總表!$E15,LEN(總表!$E15)-FIND("+",總表!$E15)),""),0)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5"/>
      <c r="L77" s="275"/>
      <c r="M77" s="275"/>
      <c r="N77" s="299"/>
      <c r="O77" s="275"/>
      <c r="P77" s="275"/>
      <c r="Q77" s="275"/>
      <c r="R77" s="302"/>
      <c r="S77" s="303"/>
      <c r="T77" s="291"/>
      <c r="U77" s="1"/>
      <c r="V77" s="1"/>
    </row>
    <row r="78" spans="1:23" ht="14.25" hidden="1" customHeight="1">
      <c r="A78" s="9"/>
      <c r="B78" s="267"/>
      <c r="C78" s="283"/>
      <c r="D78" s="230"/>
      <c r="E78" s="63">
        <v>2</v>
      </c>
      <c r="F78" s="312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5"/>
      <c r="L78" s="275"/>
      <c r="M78" s="275"/>
      <c r="N78" s="299"/>
      <c r="O78" s="275"/>
      <c r="P78" s="275"/>
      <c r="Q78" s="275"/>
      <c r="R78" s="302"/>
      <c r="S78" s="303"/>
      <c r="T78" s="291"/>
      <c r="U78" s="1"/>
      <c r="V78" s="1"/>
    </row>
    <row r="79" spans="1:23" ht="14.25" hidden="1" customHeight="1">
      <c r="A79" s="9"/>
      <c r="B79" s="268"/>
      <c r="C79" s="284"/>
      <c r="D79" s="270"/>
      <c r="E79" s="64">
        <v>3</v>
      </c>
      <c r="F79" s="313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6"/>
      <c r="L79" s="276"/>
      <c r="M79" s="276"/>
      <c r="N79" s="300"/>
      <c r="O79" s="276"/>
      <c r="P79" s="276"/>
      <c r="Q79" s="276"/>
      <c r="R79" s="302"/>
      <c r="S79" s="304"/>
      <c r="T79" s="293"/>
      <c r="U79" s="1"/>
      <c r="V79" s="1"/>
    </row>
    <row r="80" spans="1:23" ht="14.25" hidden="1" customHeight="1">
      <c r="A80" s="9"/>
      <c r="B80" s="320" t="s">
        <v>42</v>
      </c>
      <c r="C80" s="321"/>
      <c r="D80" s="321"/>
      <c r="E80" s="322"/>
      <c r="F80" s="323"/>
      <c r="G80" s="320" t="s">
        <v>43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3"/>
      <c r="U80" s="1"/>
      <c r="V80" s="1"/>
    </row>
    <row r="81" spans="1:35" ht="14.25" hidden="1" customHeight="1">
      <c r="A81" s="9"/>
      <c r="B81" s="324"/>
      <c r="C81" s="325"/>
      <c r="D81" s="325"/>
      <c r="E81" s="325"/>
      <c r="F81" s="326"/>
      <c r="G81" s="324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1"/>
      <c r="V81" s="1"/>
    </row>
    <row r="82" spans="1:35" ht="14.25" hidden="1" customHeight="1">
      <c r="A82" s="9"/>
      <c r="B82" s="324"/>
      <c r="C82" s="325"/>
      <c r="D82" s="325"/>
      <c r="E82" s="325"/>
      <c r="F82" s="326"/>
      <c r="G82" s="324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  <c r="U82" s="1"/>
      <c r="V82" s="1"/>
    </row>
    <row r="83" spans="1:35" ht="14.25" hidden="1" customHeight="1">
      <c r="A83" s="9"/>
      <c r="B83" s="327"/>
      <c r="C83" s="280"/>
      <c r="D83" s="280"/>
      <c r="E83" s="280"/>
      <c r="F83" s="328"/>
      <c r="G83" s="327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328"/>
      <c r="U83" s="1"/>
      <c r="V83" s="1"/>
    </row>
    <row r="84" spans="1:35" ht="21" customHeight="1">
      <c r="A84" s="9"/>
      <c r="B84" s="319" t="s">
        <v>14</v>
      </c>
      <c r="C84" s="319"/>
      <c r="D84" s="319"/>
      <c r="E84" s="319"/>
      <c r="F84" s="319"/>
      <c r="G84" s="319"/>
      <c r="H84" s="319"/>
      <c r="I84" s="319" t="s">
        <v>44</v>
      </c>
      <c r="J84" s="319"/>
      <c r="K84" s="319"/>
      <c r="L84" s="319"/>
      <c r="M84" s="319"/>
      <c r="N84" s="319"/>
      <c r="O84" s="319" t="s">
        <v>1269</v>
      </c>
      <c r="P84" s="319"/>
      <c r="Q84" s="319"/>
      <c r="R84" s="319"/>
      <c r="S84" s="319"/>
      <c r="T84" s="319"/>
      <c r="U84" s="1"/>
      <c r="V84" s="1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6.5">
      <c r="B85" s="7"/>
    </row>
  </sheetData>
  <sheetProtection formatCells="0" selectLockedCells="1" selectUnlockedCells="1"/>
  <mergeCells count="184"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O56:O61"/>
    <mergeCell ref="P56:P61"/>
    <mergeCell ref="Q56:Q61"/>
    <mergeCell ref="R56:R61"/>
    <mergeCell ref="B84:H84"/>
    <mergeCell ref="I84:N84"/>
    <mergeCell ref="O84:T84"/>
    <mergeCell ref="Q62:Q67"/>
    <mergeCell ref="R62:R67"/>
    <mergeCell ref="S62:T67"/>
    <mergeCell ref="F65:F67"/>
    <mergeCell ref="B80:F83"/>
    <mergeCell ref="G80:T83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M56:M61"/>
    <mergeCell ref="N56:N61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S14:T19"/>
    <mergeCell ref="F11:F13"/>
    <mergeCell ref="D14:D19"/>
    <mergeCell ref="F14:F16"/>
    <mergeCell ref="K14:K19"/>
    <mergeCell ref="L14:L19"/>
    <mergeCell ref="M14:M19"/>
    <mergeCell ref="F17:F19"/>
    <mergeCell ref="R8:R13"/>
    <mergeCell ref="S8:T13"/>
    <mergeCell ref="M8:M13"/>
    <mergeCell ref="N8:N13"/>
    <mergeCell ref="O8:O13"/>
    <mergeCell ref="P8:P13"/>
    <mergeCell ref="Q8:Q13"/>
    <mergeCell ref="B8:B19"/>
    <mergeCell ref="C8:C19"/>
    <mergeCell ref="D8:D13"/>
    <mergeCell ref="F8:F10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K8:K13"/>
    <mergeCell ref="L8:L13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5"/>
  <sheetViews>
    <sheetView zoomScaleNormal="100" workbookViewId="0">
      <pane xSplit="4" ySplit="7" topLeftCell="E56" activePane="bottomRight" state="frozen"/>
      <selection pane="topRight" activeCell="E1" sqref="E1"/>
      <selection pane="bottomLeft" activeCell="A8" sqref="A8"/>
      <selection pane="bottomRight" activeCell="O84" sqref="O84:T84"/>
    </sheetView>
  </sheetViews>
  <sheetFormatPr defaultColWidth="9" defaultRowHeight="16.5"/>
  <cols>
    <col min="1" max="1" width="10.25" style="13" customWidth="1"/>
    <col min="2" max="4" width="3.625" style="13" customWidth="1"/>
    <col min="5" max="5" width="3.625" style="13" hidden="1" customWidth="1"/>
    <col min="6" max="7" width="12.62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9" style="13"/>
    <col min="24" max="24" width="4.5" style="13" bestFit="1" customWidth="1"/>
    <col min="25" max="26" width="5.625" style="13" customWidth="1"/>
    <col min="27" max="27" width="9" style="13" customWidth="1"/>
    <col min="28" max="28" width="5.625" style="13" customWidth="1"/>
    <col min="29" max="29" width="9" style="13" customWidth="1"/>
    <col min="30" max="31" width="5.625" style="13" customWidth="1"/>
    <col min="32" max="32" width="9" style="13" customWidth="1"/>
    <col min="33" max="33" width="5.625" style="13" customWidth="1"/>
    <col min="34" max="34" width="9" style="13" customWidth="1"/>
    <col min="35" max="35" width="11.625" style="13" bestFit="1" customWidth="1"/>
    <col min="36" max="253" width="9" style="13"/>
    <col min="254" max="254" width="14.875" style="13" customWidth="1"/>
    <col min="255" max="257" width="3.625" style="13" customWidth="1"/>
    <col min="258" max="259" width="12.625" style="13" customWidth="1"/>
    <col min="260" max="260" width="6" style="13" customWidth="1"/>
    <col min="261" max="261" width="12.625" style="13" customWidth="1"/>
    <col min="262" max="262" width="6" style="13" customWidth="1"/>
    <col min="263" max="272" width="3.875" style="13" customWidth="1"/>
    <col min="273" max="273" width="2.5" style="13" customWidth="1"/>
    <col min="274" max="274" width="12.375" style="13" customWidth="1"/>
    <col min="275" max="275" width="9.125" style="13" bestFit="1" customWidth="1"/>
    <col min="276" max="277" width="9" style="13"/>
    <col min="278" max="278" width="4.5" style="13" bestFit="1" customWidth="1"/>
    <col min="279" max="279" width="9" style="13"/>
    <col min="280" max="280" width="4.5" style="13" bestFit="1" customWidth="1"/>
    <col min="281" max="282" width="5.625" style="13" customWidth="1"/>
    <col min="283" max="283" width="9" style="13"/>
    <col min="284" max="284" width="5.625" style="13" customWidth="1"/>
    <col min="285" max="285" width="9" style="13"/>
    <col min="286" max="287" width="5.625" style="13" customWidth="1"/>
    <col min="288" max="288" width="9" style="13"/>
    <col min="289" max="289" width="5.625" style="13" customWidth="1"/>
    <col min="290" max="290" width="9" style="13"/>
    <col min="291" max="291" width="11.625" style="13" bestFit="1" customWidth="1"/>
    <col min="292" max="509" width="9" style="13"/>
    <col min="510" max="510" width="14.875" style="13" customWidth="1"/>
    <col min="511" max="513" width="3.625" style="13" customWidth="1"/>
    <col min="514" max="515" width="12.625" style="13" customWidth="1"/>
    <col min="516" max="516" width="6" style="13" customWidth="1"/>
    <col min="517" max="517" width="12.625" style="13" customWidth="1"/>
    <col min="518" max="518" width="6" style="13" customWidth="1"/>
    <col min="519" max="528" width="3.875" style="13" customWidth="1"/>
    <col min="529" max="529" width="2.5" style="13" customWidth="1"/>
    <col min="530" max="530" width="12.375" style="13" customWidth="1"/>
    <col min="531" max="531" width="9.125" style="13" bestFit="1" customWidth="1"/>
    <col min="532" max="533" width="9" style="13"/>
    <col min="534" max="534" width="4.5" style="13" bestFit="1" customWidth="1"/>
    <col min="535" max="535" width="9" style="13"/>
    <col min="536" max="536" width="4.5" style="13" bestFit="1" customWidth="1"/>
    <col min="537" max="538" width="5.625" style="13" customWidth="1"/>
    <col min="539" max="539" width="9" style="13"/>
    <col min="540" max="540" width="5.625" style="13" customWidth="1"/>
    <col min="541" max="541" width="9" style="13"/>
    <col min="542" max="543" width="5.625" style="13" customWidth="1"/>
    <col min="544" max="544" width="9" style="13"/>
    <col min="545" max="545" width="5.625" style="13" customWidth="1"/>
    <col min="546" max="546" width="9" style="13"/>
    <col min="547" max="547" width="11.625" style="13" bestFit="1" customWidth="1"/>
    <col min="548" max="765" width="9" style="13"/>
    <col min="766" max="766" width="14.875" style="13" customWidth="1"/>
    <col min="767" max="769" width="3.625" style="13" customWidth="1"/>
    <col min="770" max="771" width="12.625" style="13" customWidth="1"/>
    <col min="772" max="772" width="6" style="13" customWidth="1"/>
    <col min="773" max="773" width="12.625" style="13" customWidth="1"/>
    <col min="774" max="774" width="6" style="13" customWidth="1"/>
    <col min="775" max="784" width="3.875" style="13" customWidth="1"/>
    <col min="785" max="785" width="2.5" style="13" customWidth="1"/>
    <col min="786" max="786" width="12.375" style="13" customWidth="1"/>
    <col min="787" max="787" width="9.125" style="13" bestFit="1" customWidth="1"/>
    <col min="788" max="789" width="9" style="13"/>
    <col min="790" max="790" width="4.5" style="13" bestFit="1" customWidth="1"/>
    <col min="791" max="791" width="9" style="13"/>
    <col min="792" max="792" width="4.5" style="13" bestFit="1" customWidth="1"/>
    <col min="793" max="794" width="5.625" style="13" customWidth="1"/>
    <col min="795" max="795" width="9" style="13"/>
    <col min="796" max="796" width="5.625" style="13" customWidth="1"/>
    <col min="797" max="797" width="9" style="13"/>
    <col min="798" max="799" width="5.625" style="13" customWidth="1"/>
    <col min="800" max="800" width="9" style="13"/>
    <col min="801" max="801" width="5.625" style="13" customWidth="1"/>
    <col min="802" max="802" width="9" style="13"/>
    <col min="803" max="803" width="11.625" style="13" bestFit="1" customWidth="1"/>
    <col min="804" max="1021" width="9" style="13"/>
    <col min="1022" max="1022" width="14.875" style="13" customWidth="1"/>
    <col min="1023" max="1025" width="3.625" style="13" customWidth="1"/>
    <col min="1026" max="1027" width="12.625" style="13" customWidth="1"/>
    <col min="1028" max="1028" width="6" style="13" customWidth="1"/>
    <col min="1029" max="1029" width="12.625" style="13" customWidth="1"/>
    <col min="1030" max="1030" width="6" style="13" customWidth="1"/>
    <col min="1031" max="1040" width="3.875" style="13" customWidth="1"/>
    <col min="1041" max="1041" width="2.5" style="13" customWidth="1"/>
    <col min="1042" max="1042" width="12.375" style="13" customWidth="1"/>
    <col min="1043" max="1043" width="9.125" style="13" bestFit="1" customWidth="1"/>
    <col min="1044" max="1045" width="9" style="13"/>
    <col min="1046" max="1046" width="4.5" style="13" bestFit="1" customWidth="1"/>
    <col min="1047" max="1047" width="9" style="13"/>
    <col min="1048" max="1048" width="4.5" style="13" bestFit="1" customWidth="1"/>
    <col min="1049" max="1050" width="5.625" style="13" customWidth="1"/>
    <col min="1051" max="1051" width="9" style="13"/>
    <col min="1052" max="1052" width="5.625" style="13" customWidth="1"/>
    <col min="1053" max="1053" width="9" style="13"/>
    <col min="1054" max="1055" width="5.625" style="13" customWidth="1"/>
    <col min="1056" max="1056" width="9" style="13"/>
    <col min="1057" max="1057" width="5.625" style="13" customWidth="1"/>
    <col min="1058" max="1058" width="9" style="13"/>
    <col min="1059" max="1059" width="11.625" style="13" bestFit="1" customWidth="1"/>
    <col min="1060" max="1277" width="9" style="13"/>
    <col min="1278" max="1278" width="14.875" style="13" customWidth="1"/>
    <col min="1279" max="1281" width="3.625" style="13" customWidth="1"/>
    <col min="1282" max="1283" width="12.625" style="13" customWidth="1"/>
    <col min="1284" max="1284" width="6" style="13" customWidth="1"/>
    <col min="1285" max="1285" width="12.625" style="13" customWidth="1"/>
    <col min="1286" max="1286" width="6" style="13" customWidth="1"/>
    <col min="1287" max="1296" width="3.875" style="13" customWidth="1"/>
    <col min="1297" max="1297" width="2.5" style="13" customWidth="1"/>
    <col min="1298" max="1298" width="12.375" style="13" customWidth="1"/>
    <col min="1299" max="1299" width="9.125" style="13" bestFit="1" customWidth="1"/>
    <col min="1300" max="1301" width="9" style="13"/>
    <col min="1302" max="1302" width="4.5" style="13" bestFit="1" customWidth="1"/>
    <col min="1303" max="1303" width="9" style="13"/>
    <col min="1304" max="1304" width="4.5" style="13" bestFit="1" customWidth="1"/>
    <col min="1305" max="1306" width="5.625" style="13" customWidth="1"/>
    <col min="1307" max="1307" width="9" style="13"/>
    <col min="1308" max="1308" width="5.625" style="13" customWidth="1"/>
    <col min="1309" max="1309" width="9" style="13"/>
    <col min="1310" max="1311" width="5.625" style="13" customWidth="1"/>
    <col min="1312" max="1312" width="9" style="13"/>
    <col min="1313" max="1313" width="5.625" style="13" customWidth="1"/>
    <col min="1314" max="1314" width="9" style="13"/>
    <col min="1315" max="1315" width="11.625" style="13" bestFit="1" customWidth="1"/>
    <col min="1316" max="1533" width="9" style="13"/>
    <col min="1534" max="1534" width="14.875" style="13" customWidth="1"/>
    <col min="1535" max="1537" width="3.625" style="13" customWidth="1"/>
    <col min="1538" max="1539" width="12.625" style="13" customWidth="1"/>
    <col min="1540" max="1540" width="6" style="13" customWidth="1"/>
    <col min="1541" max="1541" width="12.625" style="13" customWidth="1"/>
    <col min="1542" max="1542" width="6" style="13" customWidth="1"/>
    <col min="1543" max="1552" width="3.875" style="13" customWidth="1"/>
    <col min="1553" max="1553" width="2.5" style="13" customWidth="1"/>
    <col min="1554" max="1554" width="12.375" style="13" customWidth="1"/>
    <col min="1555" max="1555" width="9.125" style="13" bestFit="1" customWidth="1"/>
    <col min="1556" max="1557" width="9" style="13"/>
    <col min="1558" max="1558" width="4.5" style="13" bestFit="1" customWidth="1"/>
    <col min="1559" max="1559" width="9" style="13"/>
    <col min="1560" max="1560" width="4.5" style="13" bestFit="1" customWidth="1"/>
    <col min="1561" max="1562" width="5.625" style="13" customWidth="1"/>
    <col min="1563" max="1563" width="9" style="13"/>
    <col min="1564" max="1564" width="5.625" style="13" customWidth="1"/>
    <col min="1565" max="1565" width="9" style="13"/>
    <col min="1566" max="1567" width="5.625" style="13" customWidth="1"/>
    <col min="1568" max="1568" width="9" style="13"/>
    <col min="1569" max="1569" width="5.625" style="13" customWidth="1"/>
    <col min="1570" max="1570" width="9" style="13"/>
    <col min="1571" max="1571" width="11.625" style="13" bestFit="1" customWidth="1"/>
    <col min="1572" max="1789" width="9" style="13"/>
    <col min="1790" max="1790" width="14.875" style="13" customWidth="1"/>
    <col min="1791" max="1793" width="3.625" style="13" customWidth="1"/>
    <col min="1794" max="1795" width="12.625" style="13" customWidth="1"/>
    <col min="1796" max="1796" width="6" style="13" customWidth="1"/>
    <col min="1797" max="1797" width="12.625" style="13" customWidth="1"/>
    <col min="1798" max="1798" width="6" style="13" customWidth="1"/>
    <col min="1799" max="1808" width="3.875" style="13" customWidth="1"/>
    <col min="1809" max="1809" width="2.5" style="13" customWidth="1"/>
    <col min="1810" max="1810" width="12.375" style="13" customWidth="1"/>
    <col min="1811" max="1811" width="9.125" style="13" bestFit="1" customWidth="1"/>
    <col min="1812" max="1813" width="9" style="13"/>
    <col min="1814" max="1814" width="4.5" style="13" bestFit="1" customWidth="1"/>
    <col min="1815" max="1815" width="9" style="13"/>
    <col min="1816" max="1816" width="4.5" style="13" bestFit="1" customWidth="1"/>
    <col min="1817" max="1818" width="5.625" style="13" customWidth="1"/>
    <col min="1819" max="1819" width="9" style="13"/>
    <col min="1820" max="1820" width="5.625" style="13" customWidth="1"/>
    <col min="1821" max="1821" width="9" style="13"/>
    <col min="1822" max="1823" width="5.625" style="13" customWidth="1"/>
    <col min="1824" max="1824" width="9" style="13"/>
    <col min="1825" max="1825" width="5.625" style="13" customWidth="1"/>
    <col min="1826" max="1826" width="9" style="13"/>
    <col min="1827" max="1827" width="11.625" style="13" bestFit="1" customWidth="1"/>
    <col min="1828" max="2045" width="9" style="13"/>
    <col min="2046" max="2046" width="14.875" style="13" customWidth="1"/>
    <col min="2047" max="2049" width="3.625" style="13" customWidth="1"/>
    <col min="2050" max="2051" width="12.625" style="13" customWidth="1"/>
    <col min="2052" max="2052" width="6" style="13" customWidth="1"/>
    <col min="2053" max="2053" width="12.625" style="13" customWidth="1"/>
    <col min="2054" max="2054" width="6" style="13" customWidth="1"/>
    <col min="2055" max="2064" width="3.875" style="13" customWidth="1"/>
    <col min="2065" max="2065" width="2.5" style="13" customWidth="1"/>
    <col min="2066" max="2066" width="12.375" style="13" customWidth="1"/>
    <col min="2067" max="2067" width="9.125" style="13" bestFit="1" customWidth="1"/>
    <col min="2068" max="2069" width="9" style="13"/>
    <col min="2070" max="2070" width="4.5" style="13" bestFit="1" customWidth="1"/>
    <col min="2071" max="2071" width="9" style="13"/>
    <col min="2072" max="2072" width="4.5" style="13" bestFit="1" customWidth="1"/>
    <col min="2073" max="2074" width="5.625" style="13" customWidth="1"/>
    <col min="2075" max="2075" width="9" style="13"/>
    <col min="2076" max="2076" width="5.625" style="13" customWidth="1"/>
    <col min="2077" max="2077" width="9" style="13"/>
    <col min="2078" max="2079" width="5.625" style="13" customWidth="1"/>
    <col min="2080" max="2080" width="9" style="13"/>
    <col min="2081" max="2081" width="5.625" style="13" customWidth="1"/>
    <col min="2082" max="2082" width="9" style="13"/>
    <col min="2083" max="2083" width="11.625" style="13" bestFit="1" customWidth="1"/>
    <col min="2084" max="2301" width="9" style="13"/>
    <col min="2302" max="2302" width="14.875" style="13" customWidth="1"/>
    <col min="2303" max="2305" width="3.625" style="13" customWidth="1"/>
    <col min="2306" max="2307" width="12.625" style="13" customWidth="1"/>
    <col min="2308" max="2308" width="6" style="13" customWidth="1"/>
    <col min="2309" max="2309" width="12.625" style="13" customWidth="1"/>
    <col min="2310" max="2310" width="6" style="13" customWidth="1"/>
    <col min="2311" max="2320" width="3.875" style="13" customWidth="1"/>
    <col min="2321" max="2321" width="2.5" style="13" customWidth="1"/>
    <col min="2322" max="2322" width="12.375" style="13" customWidth="1"/>
    <col min="2323" max="2323" width="9.125" style="13" bestFit="1" customWidth="1"/>
    <col min="2324" max="2325" width="9" style="13"/>
    <col min="2326" max="2326" width="4.5" style="13" bestFit="1" customWidth="1"/>
    <col min="2327" max="2327" width="9" style="13"/>
    <col min="2328" max="2328" width="4.5" style="13" bestFit="1" customWidth="1"/>
    <col min="2329" max="2330" width="5.625" style="13" customWidth="1"/>
    <col min="2331" max="2331" width="9" style="13"/>
    <col min="2332" max="2332" width="5.625" style="13" customWidth="1"/>
    <col min="2333" max="2333" width="9" style="13"/>
    <col min="2334" max="2335" width="5.625" style="13" customWidth="1"/>
    <col min="2336" max="2336" width="9" style="13"/>
    <col min="2337" max="2337" width="5.625" style="13" customWidth="1"/>
    <col min="2338" max="2338" width="9" style="13"/>
    <col min="2339" max="2339" width="11.625" style="13" bestFit="1" customWidth="1"/>
    <col min="2340" max="2557" width="9" style="13"/>
    <col min="2558" max="2558" width="14.875" style="13" customWidth="1"/>
    <col min="2559" max="2561" width="3.625" style="13" customWidth="1"/>
    <col min="2562" max="2563" width="12.625" style="13" customWidth="1"/>
    <col min="2564" max="2564" width="6" style="13" customWidth="1"/>
    <col min="2565" max="2565" width="12.625" style="13" customWidth="1"/>
    <col min="2566" max="2566" width="6" style="13" customWidth="1"/>
    <col min="2567" max="2576" width="3.875" style="13" customWidth="1"/>
    <col min="2577" max="2577" width="2.5" style="13" customWidth="1"/>
    <col min="2578" max="2578" width="12.375" style="13" customWidth="1"/>
    <col min="2579" max="2579" width="9.125" style="13" bestFit="1" customWidth="1"/>
    <col min="2580" max="2581" width="9" style="13"/>
    <col min="2582" max="2582" width="4.5" style="13" bestFit="1" customWidth="1"/>
    <col min="2583" max="2583" width="9" style="13"/>
    <col min="2584" max="2584" width="4.5" style="13" bestFit="1" customWidth="1"/>
    <col min="2585" max="2586" width="5.625" style="13" customWidth="1"/>
    <col min="2587" max="2587" width="9" style="13"/>
    <col min="2588" max="2588" width="5.625" style="13" customWidth="1"/>
    <col min="2589" max="2589" width="9" style="13"/>
    <col min="2590" max="2591" width="5.625" style="13" customWidth="1"/>
    <col min="2592" max="2592" width="9" style="13"/>
    <col min="2593" max="2593" width="5.625" style="13" customWidth="1"/>
    <col min="2594" max="2594" width="9" style="13"/>
    <col min="2595" max="2595" width="11.625" style="13" bestFit="1" customWidth="1"/>
    <col min="2596" max="2813" width="9" style="13"/>
    <col min="2814" max="2814" width="14.875" style="13" customWidth="1"/>
    <col min="2815" max="2817" width="3.625" style="13" customWidth="1"/>
    <col min="2818" max="2819" width="12.625" style="13" customWidth="1"/>
    <col min="2820" max="2820" width="6" style="13" customWidth="1"/>
    <col min="2821" max="2821" width="12.625" style="13" customWidth="1"/>
    <col min="2822" max="2822" width="6" style="13" customWidth="1"/>
    <col min="2823" max="2832" width="3.875" style="13" customWidth="1"/>
    <col min="2833" max="2833" width="2.5" style="13" customWidth="1"/>
    <col min="2834" max="2834" width="12.375" style="13" customWidth="1"/>
    <col min="2835" max="2835" width="9.125" style="13" bestFit="1" customWidth="1"/>
    <col min="2836" max="2837" width="9" style="13"/>
    <col min="2838" max="2838" width="4.5" style="13" bestFit="1" customWidth="1"/>
    <col min="2839" max="2839" width="9" style="13"/>
    <col min="2840" max="2840" width="4.5" style="13" bestFit="1" customWidth="1"/>
    <col min="2841" max="2842" width="5.625" style="13" customWidth="1"/>
    <col min="2843" max="2843" width="9" style="13"/>
    <col min="2844" max="2844" width="5.625" style="13" customWidth="1"/>
    <col min="2845" max="2845" width="9" style="13"/>
    <col min="2846" max="2847" width="5.625" style="13" customWidth="1"/>
    <col min="2848" max="2848" width="9" style="13"/>
    <col min="2849" max="2849" width="5.625" style="13" customWidth="1"/>
    <col min="2850" max="2850" width="9" style="13"/>
    <col min="2851" max="2851" width="11.625" style="13" bestFit="1" customWidth="1"/>
    <col min="2852" max="3069" width="9" style="13"/>
    <col min="3070" max="3070" width="14.875" style="13" customWidth="1"/>
    <col min="3071" max="3073" width="3.625" style="13" customWidth="1"/>
    <col min="3074" max="3075" width="12.625" style="13" customWidth="1"/>
    <col min="3076" max="3076" width="6" style="13" customWidth="1"/>
    <col min="3077" max="3077" width="12.625" style="13" customWidth="1"/>
    <col min="3078" max="3078" width="6" style="13" customWidth="1"/>
    <col min="3079" max="3088" width="3.875" style="13" customWidth="1"/>
    <col min="3089" max="3089" width="2.5" style="13" customWidth="1"/>
    <col min="3090" max="3090" width="12.375" style="13" customWidth="1"/>
    <col min="3091" max="3091" width="9.125" style="13" bestFit="1" customWidth="1"/>
    <col min="3092" max="3093" width="9" style="13"/>
    <col min="3094" max="3094" width="4.5" style="13" bestFit="1" customWidth="1"/>
    <col min="3095" max="3095" width="9" style="13"/>
    <col min="3096" max="3096" width="4.5" style="13" bestFit="1" customWidth="1"/>
    <col min="3097" max="3098" width="5.625" style="13" customWidth="1"/>
    <col min="3099" max="3099" width="9" style="13"/>
    <col min="3100" max="3100" width="5.625" style="13" customWidth="1"/>
    <col min="3101" max="3101" width="9" style="13"/>
    <col min="3102" max="3103" width="5.625" style="13" customWidth="1"/>
    <col min="3104" max="3104" width="9" style="13"/>
    <col min="3105" max="3105" width="5.625" style="13" customWidth="1"/>
    <col min="3106" max="3106" width="9" style="13"/>
    <col min="3107" max="3107" width="11.625" style="13" bestFit="1" customWidth="1"/>
    <col min="3108" max="3325" width="9" style="13"/>
    <col min="3326" max="3326" width="14.875" style="13" customWidth="1"/>
    <col min="3327" max="3329" width="3.625" style="13" customWidth="1"/>
    <col min="3330" max="3331" width="12.625" style="13" customWidth="1"/>
    <col min="3332" max="3332" width="6" style="13" customWidth="1"/>
    <col min="3333" max="3333" width="12.625" style="13" customWidth="1"/>
    <col min="3334" max="3334" width="6" style="13" customWidth="1"/>
    <col min="3335" max="3344" width="3.875" style="13" customWidth="1"/>
    <col min="3345" max="3345" width="2.5" style="13" customWidth="1"/>
    <col min="3346" max="3346" width="12.375" style="13" customWidth="1"/>
    <col min="3347" max="3347" width="9.125" style="13" bestFit="1" customWidth="1"/>
    <col min="3348" max="3349" width="9" style="13"/>
    <col min="3350" max="3350" width="4.5" style="13" bestFit="1" customWidth="1"/>
    <col min="3351" max="3351" width="9" style="13"/>
    <col min="3352" max="3352" width="4.5" style="13" bestFit="1" customWidth="1"/>
    <col min="3353" max="3354" width="5.625" style="13" customWidth="1"/>
    <col min="3355" max="3355" width="9" style="13"/>
    <col min="3356" max="3356" width="5.625" style="13" customWidth="1"/>
    <col min="3357" max="3357" width="9" style="13"/>
    <col min="3358" max="3359" width="5.625" style="13" customWidth="1"/>
    <col min="3360" max="3360" width="9" style="13"/>
    <col min="3361" max="3361" width="5.625" style="13" customWidth="1"/>
    <col min="3362" max="3362" width="9" style="13"/>
    <col min="3363" max="3363" width="11.625" style="13" bestFit="1" customWidth="1"/>
    <col min="3364" max="3581" width="9" style="13"/>
    <col min="3582" max="3582" width="14.875" style="13" customWidth="1"/>
    <col min="3583" max="3585" width="3.625" style="13" customWidth="1"/>
    <col min="3586" max="3587" width="12.625" style="13" customWidth="1"/>
    <col min="3588" max="3588" width="6" style="13" customWidth="1"/>
    <col min="3589" max="3589" width="12.625" style="13" customWidth="1"/>
    <col min="3590" max="3590" width="6" style="13" customWidth="1"/>
    <col min="3591" max="3600" width="3.875" style="13" customWidth="1"/>
    <col min="3601" max="3601" width="2.5" style="13" customWidth="1"/>
    <col min="3602" max="3602" width="12.375" style="13" customWidth="1"/>
    <col min="3603" max="3603" width="9.125" style="13" bestFit="1" customWidth="1"/>
    <col min="3604" max="3605" width="9" style="13"/>
    <col min="3606" max="3606" width="4.5" style="13" bestFit="1" customWidth="1"/>
    <col min="3607" max="3607" width="9" style="13"/>
    <col min="3608" max="3608" width="4.5" style="13" bestFit="1" customWidth="1"/>
    <col min="3609" max="3610" width="5.625" style="13" customWidth="1"/>
    <col min="3611" max="3611" width="9" style="13"/>
    <col min="3612" max="3612" width="5.625" style="13" customWidth="1"/>
    <col min="3613" max="3613" width="9" style="13"/>
    <col min="3614" max="3615" width="5.625" style="13" customWidth="1"/>
    <col min="3616" max="3616" width="9" style="13"/>
    <col min="3617" max="3617" width="5.625" style="13" customWidth="1"/>
    <col min="3618" max="3618" width="9" style="13"/>
    <col min="3619" max="3619" width="11.625" style="13" bestFit="1" customWidth="1"/>
    <col min="3620" max="3837" width="9" style="13"/>
    <col min="3838" max="3838" width="14.875" style="13" customWidth="1"/>
    <col min="3839" max="3841" width="3.625" style="13" customWidth="1"/>
    <col min="3842" max="3843" width="12.625" style="13" customWidth="1"/>
    <col min="3844" max="3844" width="6" style="13" customWidth="1"/>
    <col min="3845" max="3845" width="12.625" style="13" customWidth="1"/>
    <col min="3846" max="3846" width="6" style="13" customWidth="1"/>
    <col min="3847" max="3856" width="3.875" style="13" customWidth="1"/>
    <col min="3857" max="3857" width="2.5" style="13" customWidth="1"/>
    <col min="3858" max="3858" width="12.375" style="13" customWidth="1"/>
    <col min="3859" max="3859" width="9.125" style="13" bestFit="1" customWidth="1"/>
    <col min="3860" max="3861" width="9" style="13"/>
    <col min="3862" max="3862" width="4.5" style="13" bestFit="1" customWidth="1"/>
    <col min="3863" max="3863" width="9" style="13"/>
    <col min="3864" max="3864" width="4.5" style="13" bestFit="1" customWidth="1"/>
    <col min="3865" max="3866" width="5.625" style="13" customWidth="1"/>
    <col min="3867" max="3867" width="9" style="13"/>
    <col min="3868" max="3868" width="5.625" style="13" customWidth="1"/>
    <col min="3869" max="3869" width="9" style="13"/>
    <col min="3870" max="3871" width="5.625" style="13" customWidth="1"/>
    <col min="3872" max="3872" width="9" style="13"/>
    <col min="3873" max="3873" width="5.625" style="13" customWidth="1"/>
    <col min="3874" max="3874" width="9" style="13"/>
    <col min="3875" max="3875" width="11.625" style="13" bestFit="1" customWidth="1"/>
    <col min="3876" max="4093" width="9" style="13"/>
    <col min="4094" max="4094" width="14.875" style="13" customWidth="1"/>
    <col min="4095" max="4097" width="3.625" style="13" customWidth="1"/>
    <col min="4098" max="4099" width="12.625" style="13" customWidth="1"/>
    <col min="4100" max="4100" width="6" style="13" customWidth="1"/>
    <col min="4101" max="4101" width="12.625" style="13" customWidth="1"/>
    <col min="4102" max="4102" width="6" style="13" customWidth="1"/>
    <col min="4103" max="4112" width="3.875" style="13" customWidth="1"/>
    <col min="4113" max="4113" width="2.5" style="13" customWidth="1"/>
    <col min="4114" max="4114" width="12.375" style="13" customWidth="1"/>
    <col min="4115" max="4115" width="9.125" style="13" bestFit="1" customWidth="1"/>
    <col min="4116" max="4117" width="9" style="13"/>
    <col min="4118" max="4118" width="4.5" style="13" bestFit="1" customWidth="1"/>
    <col min="4119" max="4119" width="9" style="13"/>
    <col min="4120" max="4120" width="4.5" style="13" bestFit="1" customWidth="1"/>
    <col min="4121" max="4122" width="5.625" style="13" customWidth="1"/>
    <col min="4123" max="4123" width="9" style="13"/>
    <col min="4124" max="4124" width="5.625" style="13" customWidth="1"/>
    <col min="4125" max="4125" width="9" style="13"/>
    <col min="4126" max="4127" width="5.625" style="13" customWidth="1"/>
    <col min="4128" max="4128" width="9" style="13"/>
    <col min="4129" max="4129" width="5.625" style="13" customWidth="1"/>
    <col min="4130" max="4130" width="9" style="13"/>
    <col min="4131" max="4131" width="11.625" style="13" bestFit="1" customWidth="1"/>
    <col min="4132" max="4349" width="9" style="13"/>
    <col min="4350" max="4350" width="14.875" style="13" customWidth="1"/>
    <col min="4351" max="4353" width="3.625" style="13" customWidth="1"/>
    <col min="4354" max="4355" width="12.625" style="13" customWidth="1"/>
    <col min="4356" max="4356" width="6" style="13" customWidth="1"/>
    <col min="4357" max="4357" width="12.625" style="13" customWidth="1"/>
    <col min="4358" max="4358" width="6" style="13" customWidth="1"/>
    <col min="4359" max="4368" width="3.875" style="13" customWidth="1"/>
    <col min="4369" max="4369" width="2.5" style="13" customWidth="1"/>
    <col min="4370" max="4370" width="12.375" style="13" customWidth="1"/>
    <col min="4371" max="4371" width="9.125" style="13" bestFit="1" customWidth="1"/>
    <col min="4372" max="4373" width="9" style="13"/>
    <col min="4374" max="4374" width="4.5" style="13" bestFit="1" customWidth="1"/>
    <col min="4375" max="4375" width="9" style="13"/>
    <col min="4376" max="4376" width="4.5" style="13" bestFit="1" customWidth="1"/>
    <col min="4377" max="4378" width="5.625" style="13" customWidth="1"/>
    <col min="4379" max="4379" width="9" style="13"/>
    <col min="4380" max="4380" width="5.625" style="13" customWidth="1"/>
    <col min="4381" max="4381" width="9" style="13"/>
    <col min="4382" max="4383" width="5.625" style="13" customWidth="1"/>
    <col min="4384" max="4384" width="9" style="13"/>
    <col min="4385" max="4385" width="5.625" style="13" customWidth="1"/>
    <col min="4386" max="4386" width="9" style="13"/>
    <col min="4387" max="4387" width="11.625" style="13" bestFit="1" customWidth="1"/>
    <col min="4388" max="4605" width="9" style="13"/>
    <col min="4606" max="4606" width="14.875" style="13" customWidth="1"/>
    <col min="4607" max="4609" width="3.625" style="13" customWidth="1"/>
    <col min="4610" max="4611" width="12.625" style="13" customWidth="1"/>
    <col min="4612" max="4612" width="6" style="13" customWidth="1"/>
    <col min="4613" max="4613" width="12.625" style="13" customWidth="1"/>
    <col min="4614" max="4614" width="6" style="13" customWidth="1"/>
    <col min="4615" max="4624" width="3.875" style="13" customWidth="1"/>
    <col min="4625" max="4625" width="2.5" style="13" customWidth="1"/>
    <col min="4626" max="4626" width="12.375" style="13" customWidth="1"/>
    <col min="4627" max="4627" width="9.125" style="13" bestFit="1" customWidth="1"/>
    <col min="4628" max="4629" width="9" style="13"/>
    <col min="4630" max="4630" width="4.5" style="13" bestFit="1" customWidth="1"/>
    <col min="4631" max="4631" width="9" style="13"/>
    <col min="4632" max="4632" width="4.5" style="13" bestFit="1" customWidth="1"/>
    <col min="4633" max="4634" width="5.625" style="13" customWidth="1"/>
    <col min="4635" max="4635" width="9" style="13"/>
    <col min="4636" max="4636" width="5.625" style="13" customWidth="1"/>
    <col min="4637" max="4637" width="9" style="13"/>
    <col min="4638" max="4639" width="5.625" style="13" customWidth="1"/>
    <col min="4640" max="4640" width="9" style="13"/>
    <col min="4641" max="4641" width="5.625" style="13" customWidth="1"/>
    <col min="4642" max="4642" width="9" style="13"/>
    <col min="4643" max="4643" width="11.625" style="13" bestFit="1" customWidth="1"/>
    <col min="4644" max="4861" width="9" style="13"/>
    <col min="4862" max="4862" width="14.875" style="13" customWidth="1"/>
    <col min="4863" max="4865" width="3.625" style="13" customWidth="1"/>
    <col min="4866" max="4867" width="12.625" style="13" customWidth="1"/>
    <col min="4868" max="4868" width="6" style="13" customWidth="1"/>
    <col min="4869" max="4869" width="12.625" style="13" customWidth="1"/>
    <col min="4870" max="4870" width="6" style="13" customWidth="1"/>
    <col min="4871" max="4880" width="3.875" style="13" customWidth="1"/>
    <col min="4881" max="4881" width="2.5" style="13" customWidth="1"/>
    <col min="4882" max="4882" width="12.375" style="13" customWidth="1"/>
    <col min="4883" max="4883" width="9.125" style="13" bestFit="1" customWidth="1"/>
    <col min="4884" max="4885" width="9" style="13"/>
    <col min="4886" max="4886" width="4.5" style="13" bestFit="1" customWidth="1"/>
    <col min="4887" max="4887" width="9" style="13"/>
    <col min="4888" max="4888" width="4.5" style="13" bestFit="1" customWidth="1"/>
    <col min="4889" max="4890" width="5.625" style="13" customWidth="1"/>
    <col min="4891" max="4891" width="9" style="13"/>
    <col min="4892" max="4892" width="5.625" style="13" customWidth="1"/>
    <col min="4893" max="4893" width="9" style="13"/>
    <col min="4894" max="4895" width="5.625" style="13" customWidth="1"/>
    <col min="4896" max="4896" width="9" style="13"/>
    <col min="4897" max="4897" width="5.625" style="13" customWidth="1"/>
    <col min="4898" max="4898" width="9" style="13"/>
    <col min="4899" max="4899" width="11.625" style="13" bestFit="1" customWidth="1"/>
    <col min="4900" max="5117" width="9" style="13"/>
    <col min="5118" max="5118" width="14.875" style="13" customWidth="1"/>
    <col min="5119" max="5121" width="3.625" style="13" customWidth="1"/>
    <col min="5122" max="5123" width="12.625" style="13" customWidth="1"/>
    <col min="5124" max="5124" width="6" style="13" customWidth="1"/>
    <col min="5125" max="5125" width="12.625" style="13" customWidth="1"/>
    <col min="5126" max="5126" width="6" style="13" customWidth="1"/>
    <col min="5127" max="5136" width="3.875" style="13" customWidth="1"/>
    <col min="5137" max="5137" width="2.5" style="13" customWidth="1"/>
    <col min="5138" max="5138" width="12.375" style="13" customWidth="1"/>
    <col min="5139" max="5139" width="9.125" style="13" bestFit="1" customWidth="1"/>
    <col min="5140" max="5141" width="9" style="13"/>
    <col min="5142" max="5142" width="4.5" style="13" bestFit="1" customWidth="1"/>
    <col min="5143" max="5143" width="9" style="13"/>
    <col min="5144" max="5144" width="4.5" style="13" bestFit="1" customWidth="1"/>
    <col min="5145" max="5146" width="5.625" style="13" customWidth="1"/>
    <col min="5147" max="5147" width="9" style="13"/>
    <col min="5148" max="5148" width="5.625" style="13" customWidth="1"/>
    <col min="5149" max="5149" width="9" style="13"/>
    <col min="5150" max="5151" width="5.625" style="13" customWidth="1"/>
    <col min="5152" max="5152" width="9" style="13"/>
    <col min="5153" max="5153" width="5.625" style="13" customWidth="1"/>
    <col min="5154" max="5154" width="9" style="13"/>
    <col min="5155" max="5155" width="11.625" style="13" bestFit="1" customWidth="1"/>
    <col min="5156" max="5373" width="9" style="13"/>
    <col min="5374" max="5374" width="14.875" style="13" customWidth="1"/>
    <col min="5375" max="5377" width="3.625" style="13" customWidth="1"/>
    <col min="5378" max="5379" width="12.625" style="13" customWidth="1"/>
    <col min="5380" max="5380" width="6" style="13" customWidth="1"/>
    <col min="5381" max="5381" width="12.625" style="13" customWidth="1"/>
    <col min="5382" max="5382" width="6" style="13" customWidth="1"/>
    <col min="5383" max="5392" width="3.875" style="13" customWidth="1"/>
    <col min="5393" max="5393" width="2.5" style="13" customWidth="1"/>
    <col min="5394" max="5394" width="12.375" style="13" customWidth="1"/>
    <col min="5395" max="5395" width="9.125" style="13" bestFit="1" customWidth="1"/>
    <col min="5396" max="5397" width="9" style="13"/>
    <col min="5398" max="5398" width="4.5" style="13" bestFit="1" customWidth="1"/>
    <col min="5399" max="5399" width="9" style="13"/>
    <col min="5400" max="5400" width="4.5" style="13" bestFit="1" customWidth="1"/>
    <col min="5401" max="5402" width="5.625" style="13" customWidth="1"/>
    <col min="5403" max="5403" width="9" style="13"/>
    <col min="5404" max="5404" width="5.625" style="13" customWidth="1"/>
    <col min="5405" max="5405" width="9" style="13"/>
    <col min="5406" max="5407" width="5.625" style="13" customWidth="1"/>
    <col min="5408" max="5408" width="9" style="13"/>
    <col min="5409" max="5409" width="5.625" style="13" customWidth="1"/>
    <col min="5410" max="5410" width="9" style="13"/>
    <col min="5411" max="5411" width="11.625" style="13" bestFit="1" customWidth="1"/>
    <col min="5412" max="5629" width="9" style="13"/>
    <col min="5630" max="5630" width="14.875" style="13" customWidth="1"/>
    <col min="5631" max="5633" width="3.625" style="13" customWidth="1"/>
    <col min="5634" max="5635" width="12.625" style="13" customWidth="1"/>
    <col min="5636" max="5636" width="6" style="13" customWidth="1"/>
    <col min="5637" max="5637" width="12.625" style="13" customWidth="1"/>
    <col min="5638" max="5638" width="6" style="13" customWidth="1"/>
    <col min="5639" max="5648" width="3.875" style="13" customWidth="1"/>
    <col min="5649" max="5649" width="2.5" style="13" customWidth="1"/>
    <col min="5650" max="5650" width="12.375" style="13" customWidth="1"/>
    <col min="5651" max="5651" width="9.125" style="13" bestFit="1" customWidth="1"/>
    <col min="5652" max="5653" width="9" style="13"/>
    <col min="5654" max="5654" width="4.5" style="13" bestFit="1" customWidth="1"/>
    <col min="5655" max="5655" width="9" style="13"/>
    <col min="5656" max="5656" width="4.5" style="13" bestFit="1" customWidth="1"/>
    <col min="5657" max="5658" width="5.625" style="13" customWidth="1"/>
    <col min="5659" max="5659" width="9" style="13"/>
    <col min="5660" max="5660" width="5.625" style="13" customWidth="1"/>
    <col min="5661" max="5661" width="9" style="13"/>
    <col min="5662" max="5663" width="5.625" style="13" customWidth="1"/>
    <col min="5664" max="5664" width="9" style="13"/>
    <col min="5665" max="5665" width="5.625" style="13" customWidth="1"/>
    <col min="5666" max="5666" width="9" style="13"/>
    <col min="5667" max="5667" width="11.625" style="13" bestFit="1" customWidth="1"/>
    <col min="5668" max="5885" width="9" style="13"/>
    <col min="5886" max="5886" width="14.875" style="13" customWidth="1"/>
    <col min="5887" max="5889" width="3.625" style="13" customWidth="1"/>
    <col min="5890" max="5891" width="12.625" style="13" customWidth="1"/>
    <col min="5892" max="5892" width="6" style="13" customWidth="1"/>
    <col min="5893" max="5893" width="12.625" style="13" customWidth="1"/>
    <col min="5894" max="5894" width="6" style="13" customWidth="1"/>
    <col min="5895" max="5904" width="3.875" style="13" customWidth="1"/>
    <col min="5905" max="5905" width="2.5" style="13" customWidth="1"/>
    <col min="5906" max="5906" width="12.375" style="13" customWidth="1"/>
    <col min="5907" max="5907" width="9.125" style="13" bestFit="1" customWidth="1"/>
    <col min="5908" max="5909" width="9" style="13"/>
    <col min="5910" max="5910" width="4.5" style="13" bestFit="1" customWidth="1"/>
    <col min="5911" max="5911" width="9" style="13"/>
    <col min="5912" max="5912" width="4.5" style="13" bestFit="1" customWidth="1"/>
    <col min="5913" max="5914" width="5.625" style="13" customWidth="1"/>
    <col min="5915" max="5915" width="9" style="13"/>
    <col min="5916" max="5916" width="5.625" style="13" customWidth="1"/>
    <col min="5917" max="5917" width="9" style="13"/>
    <col min="5918" max="5919" width="5.625" style="13" customWidth="1"/>
    <col min="5920" max="5920" width="9" style="13"/>
    <col min="5921" max="5921" width="5.625" style="13" customWidth="1"/>
    <col min="5922" max="5922" width="9" style="13"/>
    <col min="5923" max="5923" width="11.625" style="13" bestFit="1" customWidth="1"/>
    <col min="5924" max="6141" width="9" style="13"/>
    <col min="6142" max="6142" width="14.875" style="13" customWidth="1"/>
    <col min="6143" max="6145" width="3.625" style="13" customWidth="1"/>
    <col min="6146" max="6147" width="12.625" style="13" customWidth="1"/>
    <col min="6148" max="6148" width="6" style="13" customWidth="1"/>
    <col min="6149" max="6149" width="12.625" style="13" customWidth="1"/>
    <col min="6150" max="6150" width="6" style="13" customWidth="1"/>
    <col min="6151" max="6160" width="3.875" style="13" customWidth="1"/>
    <col min="6161" max="6161" width="2.5" style="13" customWidth="1"/>
    <col min="6162" max="6162" width="12.375" style="13" customWidth="1"/>
    <col min="6163" max="6163" width="9.125" style="13" bestFit="1" customWidth="1"/>
    <col min="6164" max="6165" width="9" style="13"/>
    <col min="6166" max="6166" width="4.5" style="13" bestFit="1" customWidth="1"/>
    <col min="6167" max="6167" width="9" style="13"/>
    <col min="6168" max="6168" width="4.5" style="13" bestFit="1" customWidth="1"/>
    <col min="6169" max="6170" width="5.625" style="13" customWidth="1"/>
    <col min="6171" max="6171" width="9" style="13"/>
    <col min="6172" max="6172" width="5.625" style="13" customWidth="1"/>
    <col min="6173" max="6173" width="9" style="13"/>
    <col min="6174" max="6175" width="5.625" style="13" customWidth="1"/>
    <col min="6176" max="6176" width="9" style="13"/>
    <col min="6177" max="6177" width="5.625" style="13" customWidth="1"/>
    <col min="6178" max="6178" width="9" style="13"/>
    <col min="6179" max="6179" width="11.625" style="13" bestFit="1" customWidth="1"/>
    <col min="6180" max="6397" width="9" style="13"/>
    <col min="6398" max="6398" width="14.875" style="13" customWidth="1"/>
    <col min="6399" max="6401" width="3.625" style="13" customWidth="1"/>
    <col min="6402" max="6403" width="12.625" style="13" customWidth="1"/>
    <col min="6404" max="6404" width="6" style="13" customWidth="1"/>
    <col min="6405" max="6405" width="12.625" style="13" customWidth="1"/>
    <col min="6406" max="6406" width="6" style="13" customWidth="1"/>
    <col min="6407" max="6416" width="3.875" style="13" customWidth="1"/>
    <col min="6417" max="6417" width="2.5" style="13" customWidth="1"/>
    <col min="6418" max="6418" width="12.375" style="13" customWidth="1"/>
    <col min="6419" max="6419" width="9.125" style="13" bestFit="1" customWidth="1"/>
    <col min="6420" max="6421" width="9" style="13"/>
    <col min="6422" max="6422" width="4.5" style="13" bestFit="1" customWidth="1"/>
    <col min="6423" max="6423" width="9" style="13"/>
    <col min="6424" max="6424" width="4.5" style="13" bestFit="1" customWidth="1"/>
    <col min="6425" max="6426" width="5.625" style="13" customWidth="1"/>
    <col min="6427" max="6427" width="9" style="13"/>
    <col min="6428" max="6428" width="5.625" style="13" customWidth="1"/>
    <col min="6429" max="6429" width="9" style="13"/>
    <col min="6430" max="6431" width="5.625" style="13" customWidth="1"/>
    <col min="6432" max="6432" width="9" style="13"/>
    <col min="6433" max="6433" width="5.625" style="13" customWidth="1"/>
    <col min="6434" max="6434" width="9" style="13"/>
    <col min="6435" max="6435" width="11.625" style="13" bestFit="1" customWidth="1"/>
    <col min="6436" max="6653" width="9" style="13"/>
    <col min="6654" max="6654" width="14.875" style="13" customWidth="1"/>
    <col min="6655" max="6657" width="3.625" style="13" customWidth="1"/>
    <col min="6658" max="6659" width="12.625" style="13" customWidth="1"/>
    <col min="6660" max="6660" width="6" style="13" customWidth="1"/>
    <col min="6661" max="6661" width="12.625" style="13" customWidth="1"/>
    <col min="6662" max="6662" width="6" style="13" customWidth="1"/>
    <col min="6663" max="6672" width="3.875" style="13" customWidth="1"/>
    <col min="6673" max="6673" width="2.5" style="13" customWidth="1"/>
    <col min="6674" max="6674" width="12.375" style="13" customWidth="1"/>
    <col min="6675" max="6675" width="9.125" style="13" bestFit="1" customWidth="1"/>
    <col min="6676" max="6677" width="9" style="13"/>
    <col min="6678" max="6678" width="4.5" style="13" bestFit="1" customWidth="1"/>
    <col min="6679" max="6679" width="9" style="13"/>
    <col min="6680" max="6680" width="4.5" style="13" bestFit="1" customWidth="1"/>
    <col min="6681" max="6682" width="5.625" style="13" customWidth="1"/>
    <col min="6683" max="6683" width="9" style="13"/>
    <col min="6684" max="6684" width="5.625" style="13" customWidth="1"/>
    <col min="6685" max="6685" width="9" style="13"/>
    <col min="6686" max="6687" width="5.625" style="13" customWidth="1"/>
    <col min="6688" max="6688" width="9" style="13"/>
    <col min="6689" max="6689" width="5.625" style="13" customWidth="1"/>
    <col min="6690" max="6690" width="9" style="13"/>
    <col min="6691" max="6691" width="11.625" style="13" bestFit="1" customWidth="1"/>
    <col min="6692" max="6909" width="9" style="13"/>
    <col min="6910" max="6910" width="14.875" style="13" customWidth="1"/>
    <col min="6911" max="6913" width="3.625" style="13" customWidth="1"/>
    <col min="6914" max="6915" width="12.625" style="13" customWidth="1"/>
    <col min="6916" max="6916" width="6" style="13" customWidth="1"/>
    <col min="6917" max="6917" width="12.625" style="13" customWidth="1"/>
    <col min="6918" max="6918" width="6" style="13" customWidth="1"/>
    <col min="6919" max="6928" width="3.875" style="13" customWidth="1"/>
    <col min="6929" max="6929" width="2.5" style="13" customWidth="1"/>
    <col min="6930" max="6930" width="12.375" style="13" customWidth="1"/>
    <col min="6931" max="6931" width="9.125" style="13" bestFit="1" customWidth="1"/>
    <col min="6932" max="6933" width="9" style="13"/>
    <col min="6934" max="6934" width="4.5" style="13" bestFit="1" customWidth="1"/>
    <col min="6935" max="6935" width="9" style="13"/>
    <col min="6936" max="6936" width="4.5" style="13" bestFit="1" customWidth="1"/>
    <col min="6937" max="6938" width="5.625" style="13" customWidth="1"/>
    <col min="6939" max="6939" width="9" style="13"/>
    <col min="6940" max="6940" width="5.625" style="13" customWidth="1"/>
    <col min="6941" max="6941" width="9" style="13"/>
    <col min="6942" max="6943" width="5.625" style="13" customWidth="1"/>
    <col min="6944" max="6944" width="9" style="13"/>
    <col min="6945" max="6945" width="5.625" style="13" customWidth="1"/>
    <col min="6946" max="6946" width="9" style="13"/>
    <col min="6947" max="6947" width="11.625" style="13" bestFit="1" customWidth="1"/>
    <col min="6948" max="7165" width="9" style="13"/>
    <col min="7166" max="7166" width="14.875" style="13" customWidth="1"/>
    <col min="7167" max="7169" width="3.625" style="13" customWidth="1"/>
    <col min="7170" max="7171" width="12.625" style="13" customWidth="1"/>
    <col min="7172" max="7172" width="6" style="13" customWidth="1"/>
    <col min="7173" max="7173" width="12.625" style="13" customWidth="1"/>
    <col min="7174" max="7174" width="6" style="13" customWidth="1"/>
    <col min="7175" max="7184" width="3.875" style="13" customWidth="1"/>
    <col min="7185" max="7185" width="2.5" style="13" customWidth="1"/>
    <col min="7186" max="7186" width="12.375" style="13" customWidth="1"/>
    <col min="7187" max="7187" width="9.125" style="13" bestFit="1" customWidth="1"/>
    <col min="7188" max="7189" width="9" style="13"/>
    <col min="7190" max="7190" width="4.5" style="13" bestFit="1" customWidth="1"/>
    <col min="7191" max="7191" width="9" style="13"/>
    <col min="7192" max="7192" width="4.5" style="13" bestFit="1" customWidth="1"/>
    <col min="7193" max="7194" width="5.625" style="13" customWidth="1"/>
    <col min="7195" max="7195" width="9" style="13"/>
    <col min="7196" max="7196" width="5.625" style="13" customWidth="1"/>
    <col min="7197" max="7197" width="9" style="13"/>
    <col min="7198" max="7199" width="5.625" style="13" customWidth="1"/>
    <col min="7200" max="7200" width="9" style="13"/>
    <col min="7201" max="7201" width="5.625" style="13" customWidth="1"/>
    <col min="7202" max="7202" width="9" style="13"/>
    <col min="7203" max="7203" width="11.625" style="13" bestFit="1" customWidth="1"/>
    <col min="7204" max="7421" width="9" style="13"/>
    <col min="7422" max="7422" width="14.875" style="13" customWidth="1"/>
    <col min="7423" max="7425" width="3.625" style="13" customWidth="1"/>
    <col min="7426" max="7427" width="12.625" style="13" customWidth="1"/>
    <col min="7428" max="7428" width="6" style="13" customWidth="1"/>
    <col min="7429" max="7429" width="12.625" style="13" customWidth="1"/>
    <col min="7430" max="7430" width="6" style="13" customWidth="1"/>
    <col min="7431" max="7440" width="3.875" style="13" customWidth="1"/>
    <col min="7441" max="7441" width="2.5" style="13" customWidth="1"/>
    <col min="7442" max="7442" width="12.375" style="13" customWidth="1"/>
    <col min="7443" max="7443" width="9.125" style="13" bestFit="1" customWidth="1"/>
    <col min="7444" max="7445" width="9" style="13"/>
    <col min="7446" max="7446" width="4.5" style="13" bestFit="1" customWidth="1"/>
    <col min="7447" max="7447" width="9" style="13"/>
    <col min="7448" max="7448" width="4.5" style="13" bestFit="1" customWidth="1"/>
    <col min="7449" max="7450" width="5.625" style="13" customWidth="1"/>
    <col min="7451" max="7451" width="9" style="13"/>
    <col min="7452" max="7452" width="5.625" style="13" customWidth="1"/>
    <col min="7453" max="7453" width="9" style="13"/>
    <col min="7454" max="7455" width="5.625" style="13" customWidth="1"/>
    <col min="7456" max="7456" width="9" style="13"/>
    <col min="7457" max="7457" width="5.625" style="13" customWidth="1"/>
    <col min="7458" max="7458" width="9" style="13"/>
    <col min="7459" max="7459" width="11.625" style="13" bestFit="1" customWidth="1"/>
    <col min="7460" max="7677" width="9" style="13"/>
    <col min="7678" max="7678" width="14.875" style="13" customWidth="1"/>
    <col min="7679" max="7681" width="3.625" style="13" customWidth="1"/>
    <col min="7682" max="7683" width="12.625" style="13" customWidth="1"/>
    <col min="7684" max="7684" width="6" style="13" customWidth="1"/>
    <col min="7685" max="7685" width="12.625" style="13" customWidth="1"/>
    <col min="7686" max="7686" width="6" style="13" customWidth="1"/>
    <col min="7687" max="7696" width="3.875" style="13" customWidth="1"/>
    <col min="7697" max="7697" width="2.5" style="13" customWidth="1"/>
    <col min="7698" max="7698" width="12.375" style="13" customWidth="1"/>
    <col min="7699" max="7699" width="9.125" style="13" bestFit="1" customWidth="1"/>
    <col min="7700" max="7701" width="9" style="13"/>
    <col min="7702" max="7702" width="4.5" style="13" bestFit="1" customWidth="1"/>
    <col min="7703" max="7703" width="9" style="13"/>
    <col min="7704" max="7704" width="4.5" style="13" bestFit="1" customWidth="1"/>
    <col min="7705" max="7706" width="5.625" style="13" customWidth="1"/>
    <col min="7707" max="7707" width="9" style="13"/>
    <col min="7708" max="7708" width="5.625" style="13" customWidth="1"/>
    <col min="7709" max="7709" width="9" style="13"/>
    <col min="7710" max="7711" width="5.625" style="13" customWidth="1"/>
    <col min="7712" max="7712" width="9" style="13"/>
    <col min="7713" max="7713" width="5.625" style="13" customWidth="1"/>
    <col min="7714" max="7714" width="9" style="13"/>
    <col min="7715" max="7715" width="11.625" style="13" bestFit="1" customWidth="1"/>
    <col min="7716" max="7933" width="9" style="13"/>
    <col min="7934" max="7934" width="14.875" style="13" customWidth="1"/>
    <col min="7935" max="7937" width="3.625" style="13" customWidth="1"/>
    <col min="7938" max="7939" width="12.625" style="13" customWidth="1"/>
    <col min="7940" max="7940" width="6" style="13" customWidth="1"/>
    <col min="7941" max="7941" width="12.625" style="13" customWidth="1"/>
    <col min="7942" max="7942" width="6" style="13" customWidth="1"/>
    <col min="7943" max="7952" width="3.875" style="13" customWidth="1"/>
    <col min="7953" max="7953" width="2.5" style="13" customWidth="1"/>
    <col min="7954" max="7954" width="12.375" style="13" customWidth="1"/>
    <col min="7955" max="7955" width="9.125" style="13" bestFit="1" customWidth="1"/>
    <col min="7956" max="7957" width="9" style="13"/>
    <col min="7958" max="7958" width="4.5" style="13" bestFit="1" customWidth="1"/>
    <col min="7959" max="7959" width="9" style="13"/>
    <col min="7960" max="7960" width="4.5" style="13" bestFit="1" customWidth="1"/>
    <col min="7961" max="7962" width="5.625" style="13" customWidth="1"/>
    <col min="7963" max="7963" width="9" style="13"/>
    <col min="7964" max="7964" width="5.625" style="13" customWidth="1"/>
    <col min="7965" max="7965" width="9" style="13"/>
    <col min="7966" max="7967" width="5.625" style="13" customWidth="1"/>
    <col min="7968" max="7968" width="9" style="13"/>
    <col min="7969" max="7969" width="5.625" style="13" customWidth="1"/>
    <col min="7970" max="7970" width="9" style="13"/>
    <col min="7971" max="7971" width="11.625" style="13" bestFit="1" customWidth="1"/>
    <col min="7972" max="8189" width="9" style="13"/>
    <col min="8190" max="8190" width="14.875" style="13" customWidth="1"/>
    <col min="8191" max="8193" width="3.625" style="13" customWidth="1"/>
    <col min="8194" max="8195" width="12.625" style="13" customWidth="1"/>
    <col min="8196" max="8196" width="6" style="13" customWidth="1"/>
    <col min="8197" max="8197" width="12.625" style="13" customWidth="1"/>
    <col min="8198" max="8198" width="6" style="13" customWidth="1"/>
    <col min="8199" max="8208" width="3.875" style="13" customWidth="1"/>
    <col min="8209" max="8209" width="2.5" style="13" customWidth="1"/>
    <col min="8210" max="8210" width="12.375" style="13" customWidth="1"/>
    <col min="8211" max="8211" width="9.125" style="13" bestFit="1" customWidth="1"/>
    <col min="8212" max="8213" width="9" style="13"/>
    <col min="8214" max="8214" width="4.5" style="13" bestFit="1" customWidth="1"/>
    <col min="8215" max="8215" width="9" style="13"/>
    <col min="8216" max="8216" width="4.5" style="13" bestFit="1" customWidth="1"/>
    <col min="8217" max="8218" width="5.625" style="13" customWidth="1"/>
    <col min="8219" max="8219" width="9" style="13"/>
    <col min="8220" max="8220" width="5.625" style="13" customWidth="1"/>
    <col min="8221" max="8221" width="9" style="13"/>
    <col min="8222" max="8223" width="5.625" style="13" customWidth="1"/>
    <col min="8224" max="8224" width="9" style="13"/>
    <col min="8225" max="8225" width="5.625" style="13" customWidth="1"/>
    <col min="8226" max="8226" width="9" style="13"/>
    <col min="8227" max="8227" width="11.625" style="13" bestFit="1" customWidth="1"/>
    <col min="8228" max="8445" width="9" style="13"/>
    <col min="8446" max="8446" width="14.875" style="13" customWidth="1"/>
    <col min="8447" max="8449" width="3.625" style="13" customWidth="1"/>
    <col min="8450" max="8451" width="12.625" style="13" customWidth="1"/>
    <col min="8452" max="8452" width="6" style="13" customWidth="1"/>
    <col min="8453" max="8453" width="12.625" style="13" customWidth="1"/>
    <col min="8454" max="8454" width="6" style="13" customWidth="1"/>
    <col min="8455" max="8464" width="3.875" style="13" customWidth="1"/>
    <col min="8465" max="8465" width="2.5" style="13" customWidth="1"/>
    <col min="8466" max="8466" width="12.375" style="13" customWidth="1"/>
    <col min="8467" max="8467" width="9.125" style="13" bestFit="1" customWidth="1"/>
    <col min="8468" max="8469" width="9" style="13"/>
    <col min="8470" max="8470" width="4.5" style="13" bestFit="1" customWidth="1"/>
    <col min="8471" max="8471" width="9" style="13"/>
    <col min="8472" max="8472" width="4.5" style="13" bestFit="1" customWidth="1"/>
    <col min="8473" max="8474" width="5.625" style="13" customWidth="1"/>
    <col min="8475" max="8475" width="9" style="13"/>
    <col min="8476" max="8476" width="5.625" style="13" customWidth="1"/>
    <col min="8477" max="8477" width="9" style="13"/>
    <col min="8478" max="8479" width="5.625" style="13" customWidth="1"/>
    <col min="8480" max="8480" width="9" style="13"/>
    <col min="8481" max="8481" width="5.625" style="13" customWidth="1"/>
    <col min="8482" max="8482" width="9" style="13"/>
    <col min="8483" max="8483" width="11.625" style="13" bestFit="1" customWidth="1"/>
    <col min="8484" max="8701" width="9" style="13"/>
    <col min="8702" max="8702" width="14.875" style="13" customWidth="1"/>
    <col min="8703" max="8705" width="3.625" style="13" customWidth="1"/>
    <col min="8706" max="8707" width="12.625" style="13" customWidth="1"/>
    <col min="8708" max="8708" width="6" style="13" customWidth="1"/>
    <col min="8709" max="8709" width="12.625" style="13" customWidth="1"/>
    <col min="8710" max="8710" width="6" style="13" customWidth="1"/>
    <col min="8711" max="8720" width="3.875" style="13" customWidth="1"/>
    <col min="8721" max="8721" width="2.5" style="13" customWidth="1"/>
    <col min="8722" max="8722" width="12.375" style="13" customWidth="1"/>
    <col min="8723" max="8723" width="9.125" style="13" bestFit="1" customWidth="1"/>
    <col min="8724" max="8725" width="9" style="13"/>
    <col min="8726" max="8726" width="4.5" style="13" bestFit="1" customWidth="1"/>
    <col min="8727" max="8727" width="9" style="13"/>
    <col min="8728" max="8728" width="4.5" style="13" bestFit="1" customWidth="1"/>
    <col min="8729" max="8730" width="5.625" style="13" customWidth="1"/>
    <col min="8731" max="8731" width="9" style="13"/>
    <col min="8732" max="8732" width="5.625" style="13" customWidth="1"/>
    <col min="8733" max="8733" width="9" style="13"/>
    <col min="8734" max="8735" width="5.625" style="13" customWidth="1"/>
    <col min="8736" max="8736" width="9" style="13"/>
    <col min="8737" max="8737" width="5.625" style="13" customWidth="1"/>
    <col min="8738" max="8738" width="9" style="13"/>
    <col min="8739" max="8739" width="11.625" style="13" bestFit="1" customWidth="1"/>
    <col min="8740" max="8957" width="9" style="13"/>
    <col min="8958" max="8958" width="14.875" style="13" customWidth="1"/>
    <col min="8959" max="8961" width="3.625" style="13" customWidth="1"/>
    <col min="8962" max="8963" width="12.625" style="13" customWidth="1"/>
    <col min="8964" max="8964" width="6" style="13" customWidth="1"/>
    <col min="8965" max="8965" width="12.625" style="13" customWidth="1"/>
    <col min="8966" max="8966" width="6" style="13" customWidth="1"/>
    <col min="8967" max="8976" width="3.875" style="13" customWidth="1"/>
    <col min="8977" max="8977" width="2.5" style="13" customWidth="1"/>
    <col min="8978" max="8978" width="12.375" style="13" customWidth="1"/>
    <col min="8979" max="8979" width="9.125" style="13" bestFit="1" customWidth="1"/>
    <col min="8980" max="8981" width="9" style="13"/>
    <col min="8982" max="8982" width="4.5" style="13" bestFit="1" customWidth="1"/>
    <col min="8983" max="8983" width="9" style="13"/>
    <col min="8984" max="8984" width="4.5" style="13" bestFit="1" customWidth="1"/>
    <col min="8985" max="8986" width="5.625" style="13" customWidth="1"/>
    <col min="8987" max="8987" width="9" style="13"/>
    <col min="8988" max="8988" width="5.625" style="13" customWidth="1"/>
    <col min="8989" max="8989" width="9" style="13"/>
    <col min="8990" max="8991" width="5.625" style="13" customWidth="1"/>
    <col min="8992" max="8992" width="9" style="13"/>
    <col min="8993" max="8993" width="5.625" style="13" customWidth="1"/>
    <col min="8994" max="8994" width="9" style="13"/>
    <col min="8995" max="8995" width="11.625" style="13" bestFit="1" customWidth="1"/>
    <col min="8996" max="9213" width="9" style="13"/>
    <col min="9214" max="9214" width="14.875" style="13" customWidth="1"/>
    <col min="9215" max="9217" width="3.625" style="13" customWidth="1"/>
    <col min="9218" max="9219" width="12.625" style="13" customWidth="1"/>
    <col min="9220" max="9220" width="6" style="13" customWidth="1"/>
    <col min="9221" max="9221" width="12.625" style="13" customWidth="1"/>
    <col min="9222" max="9222" width="6" style="13" customWidth="1"/>
    <col min="9223" max="9232" width="3.875" style="13" customWidth="1"/>
    <col min="9233" max="9233" width="2.5" style="13" customWidth="1"/>
    <col min="9234" max="9234" width="12.375" style="13" customWidth="1"/>
    <col min="9235" max="9235" width="9.125" style="13" bestFit="1" customWidth="1"/>
    <col min="9236" max="9237" width="9" style="13"/>
    <col min="9238" max="9238" width="4.5" style="13" bestFit="1" customWidth="1"/>
    <col min="9239" max="9239" width="9" style="13"/>
    <col min="9240" max="9240" width="4.5" style="13" bestFit="1" customWidth="1"/>
    <col min="9241" max="9242" width="5.625" style="13" customWidth="1"/>
    <col min="9243" max="9243" width="9" style="13"/>
    <col min="9244" max="9244" width="5.625" style="13" customWidth="1"/>
    <col min="9245" max="9245" width="9" style="13"/>
    <col min="9246" max="9247" width="5.625" style="13" customWidth="1"/>
    <col min="9248" max="9248" width="9" style="13"/>
    <col min="9249" max="9249" width="5.625" style="13" customWidth="1"/>
    <col min="9250" max="9250" width="9" style="13"/>
    <col min="9251" max="9251" width="11.625" style="13" bestFit="1" customWidth="1"/>
    <col min="9252" max="9469" width="9" style="13"/>
    <col min="9470" max="9470" width="14.875" style="13" customWidth="1"/>
    <col min="9471" max="9473" width="3.625" style="13" customWidth="1"/>
    <col min="9474" max="9475" width="12.625" style="13" customWidth="1"/>
    <col min="9476" max="9476" width="6" style="13" customWidth="1"/>
    <col min="9477" max="9477" width="12.625" style="13" customWidth="1"/>
    <col min="9478" max="9478" width="6" style="13" customWidth="1"/>
    <col min="9479" max="9488" width="3.875" style="13" customWidth="1"/>
    <col min="9489" max="9489" width="2.5" style="13" customWidth="1"/>
    <col min="9490" max="9490" width="12.375" style="13" customWidth="1"/>
    <col min="9491" max="9491" width="9.125" style="13" bestFit="1" customWidth="1"/>
    <col min="9492" max="9493" width="9" style="13"/>
    <col min="9494" max="9494" width="4.5" style="13" bestFit="1" customWidth="1"/>
    <col min="9495" max="9495" width="9" style="13"/>
    <col min="9496" max="9496" width="4.5" style="13" bestFit="1" customWidth="1"/>
    <col min="9497" max="9498" width="5.625" style="13" customWidth="1"/>
    <col min="9499" max="9499" width="9" style="13"/>
    <col min="9500" max="9500" width="5.625" style="13" customWidth="1"/>
    <col min="9501" max="9501" width="9" style="13"/>
    <col min="9502" max="9503" width="5.625" style="13" customWidth="1"/>
    <col min="9504" max="9504" width="9" style="13"/>
    <col min="9505" max="9505" width="5.625" style="13" customWidth="1"/>
    <col min="9506" max="9506" width="9" style="13"/>
    <col min="9507" max="9507" width="11.625" style="13" bestFit="1" customWidth="1"/>
    <col min="9508" max="9725" width="9" style="13"/>
    <col min="9726" max="9726" width="14.875" style="13" customWidth="1"/>
    <col min="9727" max="9729" width="3.625" style="13" customWidth="1"/>
    <col min="9730" max="9731" width="12.625" style="13" customWidth="1"/>
    <col min="9732" max="9732" width="6" style="13" customWidth="1"/>
    <col min="9733" max="9733" width="12.625" style="13" customWidth="1"/>
    <col min="9734" max="9734" width="6" style="13" customWidth="1"/>
    <col min="9735" max="9744" width="3.875" style="13" customWidth="1"/>
    <col min="9745" max="9745" width="2.5" style="13" customWidth="1"/>
    <col min="9746" max="9746" width="12.375" style="13" customWidth="1"/>
    <col min="9747" max="9747" width="9.125" style="13" bestFit="1" customWidth="1"/>
    <col min="9748" max="9749" width="9" style="13"/>
    <col min="9750" max="9750" width="4.5" style="13" bestFit="1" customWidth="1"/>
    <col min="9751" max="9751" width="9" style="13"/>
    <col min="9752" max="9752" width="4.5" style="13" bestFit="1" customWidth="1"/>
    <col min="9753" max="9754" width="5.625" style="13" customWidth="1"/>
    <col min="9755" max="9755" width="9" style="13"/>
    <col min="9756" max="9756" width="5.625" style="13" customWidth="1"/>
    <col min="9757" max="9757" width="9" style="13"/>
    <col min="9758" max="9759" width="5.625" style="13" customWidth="1"/>
    <col min="9760" max="9760" width="9" style="13"/>
    <col min="9761" max="9761" width="5.625" style="13" customWidth="1"/>
    <col min="9762" max="9762" width="9" style="13"/>
    <col min="9763" max="9763" width="11.625" style="13" bestFit="1" customWidth="1"/>
    <col min="9764" max="9981" width="9" style="13"/>
    <col min="9982" max="9982" width="14.875" style="13" customWidth="1"/>
    <col min="9983" max="9985" width="3.625" style="13" customWidth="1"/>
    <col min="9986" max="9987" width="12.625" style="13" customWidth="1"/>
    <col min="9988" max="9988" width="6" style="13" customWidth="1"/>
    <col min="9989" max="9989" width="12.625" style="13" customWidth="1"/>
    <col min="9990" max="9990" width="6" style="13" customWidth="1"/>
    <col min="9991" max="10000" width="3.875" style="13" customWidth="1"/>
    <col min="10001" max="10001" width="2.5" style="13" customWidth="1"/>
    <col min="10002" max="10002" width="12.375" style="13" customWidth="1"/>
    <col min="10003" max="10003" width="9.125" style="13" bestFit="1" customWidth="1"/>
    <col min="10004" max="10005" width="9" style="13"/>
    <col min="10006" max="10006" width="4.5" style="13" bestFit="1" customWidth="1"/>
    <col min="10007" max="10007" width="9" style="13"/>
    <col min="10008" max="10008" width="4.5" style="13" bestFit="1" customWidth="1"/>
    <col min="10009" max="10010" width="5.625" style="13" customWidth="1"/>
    <col min="10011" max="10011" width="9" style="13"/>
    <col min="10012" max="10012" width="5.625" style="13" customWidth="1"/>
    <col min="10013" max="10013" width="9" style="13"/>
    <col min="10014" max="10015" width="5.625" style="13" customWidth="1"/>
    <col min="10016" max="10016" width="9" style="13"/>
    <col min="10017" max="10017" width="5.625" style="13" customWidth="1"/>
    <col min="10018" max="10018" width="9" style="13"/>
    <col min="10019" max="10019" width="11.625" style="13" bestFit="1" customWidth="1"/>
    <col min="10020" max="10237" width="9" style="13"/>
    <col min="10238" max="10238" width="14.875" style="13" customWidth="1"/>
    <col min="10239" max="10241" width="3.625" style="13" customWidth="1"/>
    <col min="10242" max="10243" width="12.625" style="13" customWidth="1"/>
    <col min="10244" max="10244" width="6" style="13" customWidth="1"/>
    <col min="10245" max="10245" width="12.625" style="13" customWidth="1"/>
    <col min="10246" max="10246" width="6" style="13" customWidth="1"/>
    <col min="10247" max="10256" width="3.875" style="13" customWidth="1"/>
    <col min="10257" max="10257" width="2.5" style="13" customWidth="1"/>
    <col min="10258" max="10258" width="12.375" style="13" customWidth="1"/>
    <col min="10259" max="10259" width="9.125" style="13" bestFit="1" customWidth="1"/>
    <col min="10260" max="10261" width="9" style="13"/>
    <col min="10262" max="10262" width="4.5" style="13" bestFit="1" customWidth="1"/>
    <col min="10263" max="10263" width="9" style="13"/>
    <col min="10264" max="10264" width="4.5" style="13" bestFit="1" customWidth="1"/>
    <col min="10265" max="10266" width="5.625" style="13" customWidth="1"/>
    <col min="10267" max="10267" width="9" style="13"/>
    <col min="10268" max="10268" width="5.625" style="13" customWidth="1"/>
    <col min="10269" max="10269" width="9" style="13"/>
    <col min="10270" max="10271" width="5.625" style="13" customWidth="1"/>
    <col min="10272" max="10272" width="9" style="13"/>
    <col min="10273" max="10273" width="5.625" style="13" customWidth="1"/>
    <col min="10274" max="10274" width="9" style="13"/>
    <col min="10275" max="10275" width="11.625" style="13" bestFit="1" customWidth="1"/>
    <col min="10276" max="10493" width="9" style="13"/>
    <col min="10494" max="10494" width="14.875" style="13" customWidth="1"/>
    <col min="10495" max="10497" width="3.625" style="13" customWidth="1"/>
    <col min="10498" max="10499" width="12.625" style="13" customWidth="1"/>
    <col min="10500" max="10500" width="6" style="13" customWidth="1"/>
    <col min="10501" max="10501" width="12.625" style="13" customWidth="1"/>
    <col min="10502" max="10502" width="6" style="13" customWidth="1"/>
    <col min="10503" max="10512" width="3.875" style="13" customWidth="1"/>
    <col min="10513" max="10513" width="2.5" style="13" customWidth="1"/>
    <col min="10514" max="10514" width="12.375" style="13" customWidth="1"/>
    <col min="10515" max="10515" width="9.125" style="13" bestFit="1" customWidth="1"/>
    <col min="10516" max="10517" width="9" style="13"/>
    <col min="10518" max="10518" width="4.5" style="13" bestFit="1" customWidth="1"/>
    <col min="10519" max="10519" width="9" style="13"/>
    <col min="10520" max="10520" width="4.5" style="13" bestFit="1" customWidth="1"/>
    <col min="10521" max="10522" width="5.625" style="13" customWidth="1"/>
    <col min="10523" max="10523" width="9" style="13"/>
    <col min="10524" max="10524" width="5.625" style="13" customWidth="1"/>
    <col min="10525" max="10525" width="9" style="13"/>
    <col min="10526" max="10527" width="5.625" style="13" customWidth="1"/>
    <col min="10528" max="10528" width="9" style="13"/>
    <col min="10529" max="10529" width="5.625" style="13" customWidth="1"/>
    <col min="10530" max="10530" width="9" style="13"/>
    <col min="10531" max="10531" width="11.625" style="13" bestFit="1" customWidth="1"/>
    <col min="10532" max="10749" width="9" style="13"/>
    <col min="10750" max="10750" width="14.875" style="13" customWidth="1"/>
    <col min="10751" max="10753" width="3.625" style="13" customWidth="1"/>
    <col min="10754" max="10755" width="12.625" style="13" customWidth="1"/>
    <col min="10756" max="10756" width="6" style="13" customWidth="1"/>
    <col min="10757" max="10757" width="12.625" style="13" customWidth="1"/>
    <col min="10758" max="10758" width="6" style="13" customWidth="1"/>
    <col min="10759" max="10768" width="3.875" style="13" customWidth="1"/>
    <col min="10769" max="10769" width="2.5" style="13" customWidth="1"/>
    <col min="10770" max="10770" width="12.375" style="13" customWidth="1"/>
    <col min="10771" max="10771" width="9.125" style="13" bestFit="1" customWidth="1"/>
    <col min="10772" max="10773" width="9" style="13"/>
    <col min="10774" max="10774" width="4.5" style="13" bestFit="1" customWidth="1"/>
    <col min="10775" max="10775" width="9" style="13"/>
    <col min="10776" max="10776" width="4.5" style="13" bestFit="1" customWidth="1"/>
    <col min="10777" max="10778" width="5.625" style="13" customWidth="1"/>
    <col min="10779" max="10779" width="9" style="13"/>
    <col min="10780" max="10780" width="5.625" style="13" customWidth="1"/>
    <col min="10781" max="10781" width="9" style="13"/>
    <col min="10782" max="10783" width="5.625" style="13" customWidth="1"/>
    <col min="10784" max="10784" width="9" style="13"/>
    <col min="10785" max="10785" width="5.625" style="13" customWidth="1"/>
    <col min="10786" max="10786" width="9" style="13"/>
    <col min="10787" max="10787" width="11.625" style="13" bestFit="1" customWidth="1"/>
    <col min="10788" max="11005" width="9" style="13"/>
    <col min="11006" max="11006" width="14.875" style="13" customWidth="1"/>
    <col min="11007" max="11009" width="3.625" style="13" customWidth="1"/>
    <col min="11010" max="11011" width="12.625" style="13" customWidth="1"/>
    <col min="11012" max="11012" width="6" style="13" customWidth="1"/>
    <col min="11013" max="11013" width="12.625" style="13" customWidth="1"/>
    <col min="11014" max="11014" width="6" style="13" customWidth="1"/>
    <col min="11015" max="11024" width="3.875" style="13" customWidth="1"/>
    <col min="11025" max="11025" width="2.5" style="13" customWidth="1"/>
    <col min="11026" max="11026" width="12.375" style="13" customWidth="1"/>
    <col min="11027" max="11027" width="9.125" style="13" bestFit="1" customWidth="1"/>
    <col min="11028" max="11029" width="9" style="13"/>
    <col min="11030" max="11030" width="4.5" style="13" bestFit="1" customWidth="1"/>
    <col min="11031" max="11031" width="9" style="13"/>
    <col min="11032" max="11032" width="4.5" style="13" bestFit="1" customWidth="1"/>
    <col min="11033" max="11034" width="5.625" style="13" customWidth="1"/>
    <col min="11035" max="11035" width="9" style="13"/>
    <col min="11036" max="11036" width="5.625" style="13" customWidth="1"/>
    <col min="11037" max="11037" width="9" style="13"/>
    <col min="11038" max="11039" width="5.625" style="13" customWidth="1"/>
    <col min="11040" max="11040" width="9" style="13"/>
    <col min="11041" max="11041" width="5.625" style="13" customWidth="1"/>
    <col min="11042" max="11042" width="9" style="13"/>
    <col min="11043" max="11043" width="11.625" style="13" bestFit="1" customWidth="1"/>
    <col min="11044" max="11261" width="9" style="13"/>
    <col min="11262" max="11262" width="14.875" style="13" customWidth="1"/>
    <col min="11263" max="11265" width="3.625" style="13" customWidth="1"/>
    <col min="11266" max="11267" width="12.625" style="13" customWidth="1"/>
    <col min="11268" max="11268" width="6" style="13" customWidth="1"/>
    <col min="11269" max="11269" width="12.625" style="13" customWidth="1"/>
    <col min="11270" max="11270" width="6" style="13" customWidth="1"/>
    <col min="11271" max="11280" width="3.875" style="13" customWidth="1"/>
    <col min="11281" max="11281" width="2.5" style="13" customWidth="1"/>
    <col min="11282" max="11282" width="12.375" style="13" customWidth="1"/>
    <col min="11283" max="11283" width="9.125" style="13" bestFit="1" customWidth="1"/>
    <col min="11284" max="11285" width="9" style="13"/>
    <col min="11286" max="11286" width="4.5" style="13" bestFit="1" customWidth="1"/>
    <col min="11287" max="11287" width="9" style="13"/>
    <col min="11288" max="11288" width="4.5" style="13" bestFit="1" customWidth="1"/>
    <col min="11289" max="11290" width="5.625" style="13" customWidth="1"/>
    <col min="11291" max="11291" width="9" style="13"/>
    <col min="11292" max="11292" width="5.625" style="13" customWidth="1"/>
    <col min="11293" max="11293" width="9" style="13"/>
    <col min="11294" max="11295" width="5.625" style="13" customWidth="1"/>
    <col min="11296" max="11296" width="9" style="13"/>
    <col min="11297" max="11297" width="5.625" style="13" customWidth="1"/>
    <col min="11298" max="11298" width="9" style="13"/>
    <col min="11299" max="11299" width="11.625" style="13" bestFit="1" customWidth="1"/>
    <col min="11300" max="11517" width="9" style="13"/>
    <col min="11518" max="11518" width="14.875" style="13" customWidth="1"/>
    <col min="11519" max="11521" width="3.625" style="13" customWidth="1"/>
    <col min="11522" max="11523" width="12.625" style="13" customWidth="1"/>
    <col min="11524" max="11524" width="6" style="13" customWidth="1"/>
    <col min="11525" max="11525" width="12.625" style="13" customWidth="1"/>
    <col min="11526" max="11526" width="6" style="13" customWidth="1"/>
    <col min="11527" max="11536" width="3.875" style="13" customWidth="1"/>
    <col min="11537" max="11537" width="2.5" style="13" customWidth="1"/>
    <col min="11538" max="11538" width="12.375" style="13" customWidth="1"/>
    <col min="11539" max="11539" width="9.125" style="13" bestFit="1" customWidth="1"/>
    <col min="11540" max="11541" width="9" style="13"/>
    <col min="11542" max="11542" width="4.5" style="13" bestFit="1" customWidth="1"/>
    <col min="11543" max="11543" width="9" style="13"/>
    <col min="11544" max="11544" width="4.5" style="13" bestFit="1" customWidth="1"/>
    <col min="11545" max="11546" width="5.625" style="13" customWidth="1"/>
    <col min="11547" max="11547" width="9" style="13"/>
    <col min="11548" max="11548" width="5.625" style="13" customWidth="1"/>
    <col min="11549" max="11549" width="9" style="13"/>
    <col min="11550" max="11551" width="5.625" style="13" customWidth="1"/>
    <col min="11552" max="11552" width="9" style="13"/>
    <col min="11553" max="11553" width="5.625" style="13" customWidth="1"/>
    <col min="11554" max="11554" width="9" style="13"/>
    <col min="11555" max="11555" width="11.625" style="13" bestFit="1" customWidth="1"/>
    <col min="11556" max="11773" width="9" style="13"/>
    <col min="11774" max="11774" width="14.875" style="13" customWidth="1"/>
    <col min="11775" max="11777" width="3.625" style="13" customWidth="1"/>
    <col min="11778" max="11779" width="12.625" style="13" customWidth="1"/>
    <col min="11780" max="11780" width="6" style="13" customWidth="1"/>
    <col min="11781" max="11781" width="12.625" style="13" customWidth="1"/>
    <col min="11782" max="11782" width="6" style="13" customWidth="1"/>
    <col min="11783" max="11792" width="3.875" style="13" customWidth="1"/>
    <col min="11793" max="11793" width="2.5" style="13" customWidth="1"/>
    <col min="11794" max="11794" width="12.375" style="13" customWidth="1"/>
    <col min="11795" max="11795" width="9.125" style="13" bestFit="1" customWidth="1"/>
    <col min="11796" max="11797" width="9" style="13"/>
    <col min="11798" max="11798" width="4.5" style="13" bestFit="1" customWidth="1"/>
    <col min="11799" max="11799" width="9" style="13"/>
    <col min="11800" max="11800" width="4.5" style="13" bestFit="1" customWidth="1"/>
    <col min="11801" max="11802" width="5.625" style="13" customWidth="1"/>
    <col min="11803" max="11803" width="9" style="13"/>
    <col min="11804" max="11804" width="5.625" style="13" customWidth="1"/>
    <col min="11805" max="11805" width="9" style="13"/>
    <col min="11806" max="11807" width="5.625" style="13" customWidth="1"/>
    <col min="11808" max="11808" width="9" style="13"/>
    <col min="11809" max="11809" width="5.625" style="13" customWidth="1"/>
    <col min="11810" max="11810" width="9" style="13"/>
    <col min="11811" max="11811" width="11.625" style="13" bestFit="1" customWidth="1"/>
    <col min="11812" max="12029" width="9" style="13"/>
    <col min="12030" max="12030" width="14.875" style="13" customWidth="1"/>
    <col min="12031" max="12033" width="3.625" style="13" customWidth="1"/>
    <col min="12034" max="12035" width="12.625" style="13" customWidth="1"/>
    <col min="12036" max="12036" width="6" style="13" customWidth="1"/>
    <col min="12037" max="12037" width="12.625" style="13" customWidth="1"/>
    <col min="12038" max="12038" width="6" style="13" customWidth="1"/>
    <col min="12039" max="12048" width="3.875" style="13" customWidth="1"/>
    <col min="12049" max="12049" width="2.5" style="13" customWidth="1"/>
    <col min="12050" max="12050" width="12.375" style="13" customWidth="1"/>
    <col min="12051" max="12051" width="9.125" style="13" bestFit="1" customWidth="1"/>
    <col min="12052" max="12053" width="9" style="13"/>
    <col min="12054" max="12054" width="4.5" style="13" bestFit="1" customWidth="1"/>
    <col min="12055" max="12055" width="9" style="13"/>
    <col min="12056" max="12056" width="4.5" style="13" bestFit="1" customWidth="1"/>
    <col min="12057" max="12058" width="5.625" style="13" customWidth="1"/>
    <col min="12059" max="12059" width="9" style="13"/>
    <col min="12060" max="12060" width="5.625" style="13" customWidth="1"/>
    <col min="12061" max="12061" width="9" style="13"/>
    <col min="12062" max="12063" width="5.625" style="13" customWidth="1"/>
    <col min="12064" max="12064" width="9" style="13"/>
    <col min="12065" max="12065" width="5.625" style="13" customWidth="1"/>
    <col min="12066" max="12066" width="9" style="13"/>
    <col min="12067" max="12067" width="11.625" style="13" bestFit="1" customWidth="1"/>
    <col min="12068" max="12285" width="9" style="13"/>
    <col min="12286" max="12286" width="14.875" style="13" customWidth="1"/>
    <col min="12287" max="12289" width="3.625" style="13" customWidth="1"/>
    <col min="12290" max="12291" width="12.625" style="13" customWidth="1"/>
    <col min="12292" max="12292" width="6" style="13" customWidth="1"/>
    <col min="12293" max="12293" width="12.625" style="13" customWidth="1"/>
    <col min="12294" max="12294" width="6" style="13" customWidth="1"/>
    <col min="12295" max="12304" width="3.875" style="13" customWidth="1"/>
    <col min="12305" max="12305" width="2.5" style="13" customWidth="1"/>
    <col min="12306" max="12306" width="12.375" style="13" customWidth="1"/>
    <col min="12307" max="12307" width="9.125" style="13" bestFit="1" customWidth="1"/>
    <col min="12308" max="12309" width="9" style="13"/>
    <col min="12310" max="12310" width="4.5" style="13" bestFit="1" customWidth="1"/>
    <col min="12311" max="12311" width="9" style="13"/>
    <col min="12312" max="12312" width="4.5" style="13" bestFit="1" customWidth="1"/>
    <col min="12313" max="12314" width="5.625" style="13" customWidth="1"/>
    <col min="12315" max="12315" width="9" style="13"/>
    <col min="12316" max="12316" width="5.625" style="13" customWidth="1"/>
    <col min="12317" max="12317" width="9" style="13"/>
    <col min="12318" max="12319" width="5.625" style="13" customWidth="1"/>
    <col min="12320" max="12320" width="9" style="13"/>
    <col min="12321" max="12321" width="5.625" style="13" customWidth="1"/>
    <col min="12322" max="12322" width="9" style="13"/>
    <col min="12323" max="12323" width="11.625" style="13" bestFit="1" customWidth="1"/>
    <col min="12324" max="12541" width="9" style="13"/>
    <col min="12542" max="12542" width="14.875" style="13" customWidth="1"/>
    <col min="12543" max="12545" width="3.625" style="13" customWidth="1"/>
    <col min="12546" max="12547" width="12.625" style="13" customWidth="1"/>
    <col min="12548" max="12548" width="6" style="13" customWidth="1"/>
    <col min="12549" max="12549" width="12.625" style="13" customWidth="1"/>
    <col min="12550" max="12550" width="6" style="13" customWidth="1"/>
    <col min="12551" max="12560" width="3.875" style="13" customWidth="1"/>
    <col min="12561" max="12561" width="2.5" style="13" customWidth="1"/>
    <col min="12562" max="12562" width="12.375" style="13" customWidth="1"/>
    <col min="12563" max="12563" width="9.125" style="13" bestFit="1" customWidth="1"/>
    <col min="12564" max="12565" width="9" style="13"/>
    <col min="12566" max="12566" width="4.5" style="13" bestFit="1" customWidth="1"/>
    <col min="12567" max="12567" width="9" style="13"/>
    <col min="12568" max="12568" width="4.5" style="13" bestFit="1" customWidth="1"/>
    <col min="12569" max="12570" width="5.625" style="13" customWidth="1"/>
    <col min="12571" max="12571" width="9" style="13"/>
    <col min="12572" max="12572" width="5.625" style="13" customWidth="1"/>
    <col min="12573" max="12573" width="9" style="13"/>
    <col min="12574" max="12575" width="5.625" style="13" customWidth="1"/>
    <col min="12576" max="12576" width="9" style="13"/>
    <col min="12577" max="12577" width="5.625" style="13" customWidth="1"/>
    <col min="12578" max="12578" width="9" style="13"/>
    <col min="12579" max="12579" width="11.625" style="13" bestFit="1" customWidth="1"/>
    <col min="12580" max="12797" width="9" style="13"/>
    <col min="12798" max="12798" width="14.875" style="13" customWidth="1"/>
    <col min="12799" max="12801" width="3.625" style="13" customWidth="1"/>
    <col min="12802" max="12803" width="12.625" style="13" customWidth="1"/>
    <col min="12804" max="12804" width="6" style="13" customWidth="1"/>
    <col min="12805" max="12805" width="12.625" style="13" customWidth="1"/>
    <col min="12806" max="12806" width="6" style="13" customWidth="1"/>
    <col min="12807" max="12816" width="3.875" style="13" customWidth="1"/>
    <col min="12817" max="12817" width="2.5" style="13" customWidth="1"/>
    <col min="12818" max="12818" width="12.375" style="13" customWidth="1"/>
    <col min="12819" max="12819" width="9.125" style="13" bestFit="1" customWidth="1"/>
    <col min="12820" max="12821" width="9" style="13"/>
    <col min="12822" max="12822" width="4.5" style="13" bestFit="1" customWidth="1"/>
    <col min="12823" max="12823" width="9" style="13"/>
    <col min="12824" max="12824" width="4.5" style="13" bestFit="1" customWidth="1"/>
    <col min="12825" max="12826" width="5.625" style="13" customWidth="1"/>
    <col min="12827" max="12827" width="9" style="13"/>
    <col min="12828" max="12828" width="5.625" style="13" customWidth="1"/>
    <col min="12829" max="12829" width="9" style="13"/>
    <col min="12830" max="12831" width="5.625" style="13" customWidth="1"/>
    <col min="12832" max="12832" width="9" style="13"/>
    <col min="12833" max="12833" width="5.625" style="13" customWidth="1"/>
    <col min="12834" max="12834" width="9" style="13"/>
    <col min="12835" max="12835" width="11.625" style="13" bestFit="1" customWidth="1"/>
    <col min="12836" max="13053" width="9" style="13"/>
    <col min="13054" max="13054" width="14.875" style="13" customWidth="1"/>
    <col min="13055" max="13057" width="3.625" style="13" customWidth="1"/>
    <col min="13058" max="13059" width="12.625" style="13" customWidth="1"/>
    <col min="13060" max="13060" width="6" style="13" customWidth="1"/>
    <col min="13061" max="13061" width="12.625" style="13" customWidth="1"/>
    <col min="13062" max="13062" width="6" style="13" customWidth="1"/>
    <col min="13063" max="13072" width="3.875" style="13" customWidth="1"/>
    <col min="13073" max="13073" width="2.5" style="13" customWidth="1"/>
    <col min="13074" max="13074" width="12.375" style="13" customWidth="1"/>
    <col min="13075" max="13075" width="9.125" style="13" bestFit="1" customWidth="1"/>
    <col min="13076" max="13077" width="9" style="13"/>
    <col min="13078" max="13078" width="4.5" style="13" bestFit="1" customWidth="1"/>
    <col min="13079" max="13079" width="9" style="13"/>
    <col min="13080" max="13080" width="4.5" style="13" bestFit="1" customWidth="1"/>
    <col min="13081" max="13082" width="5.625" style="13" customWidth="1"/>
    <col min="13083" max="13083" width="9" style="13"/>
    <col min="13084" max="13084" width="5.625" style="13" customWidth="1"/>
    <col min="13085" max="13085" width="9" style="13"/>
    <col min="13086" max="13087" width="5.625" style="13" customWidth="1"/>
    <col min="13088" max="13088" width="9" style="13"/>
    <col min="13089" max="13089" width="5.625" style="13" customWidth="1"/>
    <col min="13090" max="13090" width="9" style="13"/>
    <col min="13091" max="13091" width="11.625" style="13" bestFit="1" customWidth="1"/>
    <col min="13092" max="13309" width="9" style="13"/>
    <col min="13310" max="13310" width="14.875" style="13" customWidth="1"/>
    <col min="13311" max="13313" width="3.625" style="13" customWidth="1"/>
    <col min="13314" max="13315" width="12.625" style="13" customWidth="1"/>
    <col min="13316" max="13316" width="6" style="13" customWidth="1"/>
    <col min="13317" max="13317" width="12.625" style="13" customWidth="1"/>
    <col min="13318" max="13318" width="6" style="13" customWidth="1"/>
    <col min="13319" max="13328" width="3.875" style="13" customWidth="1"/>
    <col min="13329" max="13329" width="2.5" style="13" customWidth="1"/>
    <col min="13330" max="13330" width="12.375" style="13" customWidth="1"/>
    <col min="13331" max="13331" width="9.125" style="13" bestFit="1" customWidth="1"/>
    <col min="13332" max="13333" width="9" style="13"/>
    <col min="13334" max="13334" width="4.5" style="13" bestFit="1" customWidth="1"/>
    <col min="13335" max="13335" width="9" style="13"/>
    <col min="13336" max="13336" width="4.5" style="13" bestFit="1" customWidth="1"/>
    <col min="13337" max="13338" width="5.625" style="13" customWidth="1"/>
    <col min="13339" max="13339" width="9" style="13"/>
    <col min="13340" max="13340" width="5.625" style="13" customWidth="1"/>
    <col min="13341" max="13341" width="9" style="13"/>
    <col min="13342" max="13343" width="5.625" style="13" customWidth="1"/>
    <col min="13344" max="13344" width="9" style="13"/>
    <col min="13345" max="13345" width="5.625" style="13" customWidth="1"/>
    <col min="13346" max="13346" width="9" style="13"/>
    <col min="13347" max="13347" width="11.625" style="13" bestFit="1" customWidth="1"/>
    <col min="13348" max="13565" width="9" style="13"/>
    <col min="13566" max="13566" width="14.875" style="13" customWidth="1"/>
    <col min="13567" max="13569" width="3.625" style="13" customWidth="1"/>
    <col min="13570" max="13571" width="12.625" style="13" customWidth="1"/>
    <col min="13572" max="13572" width="6" style="13" customWidth="1"/>
    <col min="13573" max="13573" width="12.625" style="13" customWidth="1"/>
    <col min="13574" max="13574" width="6" style="13" customWidth="1"/>
    <col min="13575" max="13584" width="3.875" style="13" customWidth="1"/>
    <col min="13585" max="13585" width="2.5" style="13" customWidth="1"/>
    <col min="13586" max="13586" width="12.375" style="13" customWidth="1"/>
    <col min="13587" max="13587" width="9.125" style="13" bestFit="1" customWidth="1"/>
    <col min="13588" max="13589" width="9" style="13"/>
    <col min="13590" max="13590" width="4.5" style="13" bestFit="1" customWidth="1"/>
    <col min="13591" max="13591" width="9" style="13"/>
    <col min="13592" max="13592" width="4.5" style="13" bestFit="1" customWidth="1"/>
    <col min="13593" max="13594" width="5.625" style="13" customWidth="1"/>
    <col min="13595" max="13595" width="9" style="13"/>
    <col min="13596" max="13596" width="5.625" style="13" customWidth="1"/>
    <col min="13597" max="13597" width="9" style="13"/>
    <col min="13598" max="13599" width="5.625" style="13" customWidth="1"/>
    <col min="13600" max="13600" width="9" style="13"/>
    <col min="13601" max="13601" width="5.625" style="13" customWidth="1"/>
    <col min="13602" max="13602" width="9" style="13"/>
    <col min="13603" max="13603" width="11.625" style="13" bestFit="1" customWidth="1"/>
    <col min="13604" max="13821" width="9" style="13"/>
    <col min="13822" max="13822" width="14.875" style="13" customWidth="1"/>
    <col min="13823" max="13825" width="3.625" style="13" customWidth="1"/>
    <col min="13826" max="13827" width="12.625" style="13" customWidth="1"/>
    <col min="13828" max="13828" width="6" style="13" customWidth="1"/>
    <col min="13829" max="13829" width="12.625" style="13" customWidth="1"/>
    <col min="13830" max="13830" width="6" style="13" customWidth="1"/>
    <col min="13831" max="13840" width="3.875" style="13" customWidth="1"/>
    <col min="13841" max="13841" width="2.5" style="13" customWidth="1"/>
    <col min="13842" max="13842" width="12.375" style="13" customWidth="1"/>
    <col min="13843" max="13843" width="9.125" style="13" bestFit="1" customWidth="1"/>
    <col min="13844" max="13845" width="9" style="13"/>
    <col min="13846" max="13846" width="4.5" style="13" bestFit="1" customWidth="1"/>
    <col min="13847" max="13847" width="9" style="13"/>
    <col min="13848" max="13848" width="4.5" style="13" bestFit="1" customWidth="1"/>
    <col min="13849" max="13850" width="5.625" style="13" customWidth="1"/>
    <col min="13851" max="13851" width="9" style="13"/>
    <col min="13852" max="13852" width="5.625" style="13" customWidth="1"/>
    <col min="13853" max="13853" width="9" style="13"/>
    <col min="13854" max="13855" width="5.625" style="13" customWidth="1"/>
    <col min="13856" max="13856" width="9" style="13"/>
    <col min="13857" max="13857" width="5.625" style="13" customWidth="1"/>
    <col min="13858" max="13858" width="9" style="13"/>
    <col min="13859" max="13859" width="11.625" style="13" bestFit="1" customWidth="1"/>
    <col min="13860" max="14077" width="9" style="13"/>
    <col min="14078" max="14078" width="14.875" style="13" customWidth="1"/>
    <col min="14079" max="14081" width="3.625" style="13" customWidth="1"/>
    <col min="14082" max="14083" width="12.625" style="13" customWidth="1"/>
    <col min="14084" max="14084" width="6" style="13" customWidth="1"/>
    <col min="14085" max="14085" width="12.625" style="13" customWidth="1"/>
    <col min="14086" max="14086" width="6" style="13" customWidth="1"/>
    <col min="14087" max="14096" width="3.875" style="13" customWidth="1"/>
    <col min="14097" max="14097" width="2.5" style="13" customWidth="1"/>
    <col min="14098" max="14098" width="12.375" style="13" customWidth="1"/>
    <col min="14099" max="14099" width="9.125" style="13" bestFit="1" customWidth="1"/>
    <col min="14100" max="14101" width="9" style="13"/>
    <col min="14102" max="14102" width="4.5" style="13" bestFit="1" customWidth="1"/>
    <col min="14103" max="14103" width="9" style="13"/>
    <col min="14104" max="14104" width="4.5" style="13" bestFit="1" customWidth="1"/>
    <col min="14105" max="14106" width="5.625" style="13" customWidth="1"/>
    <col min="14107" max="14107" width="9" style="13"/>
    <col min="14108" max="14108" width="5.625" style="13" customWidth="1"/>
    <col min="14109" max="14109" width="9" style="13"/>
    <col min="14110" max="14111" width="5.625" style="13" customWidth="1"/>
    <col min="14112" max="14112" width="9" style="13"/>
    <col min="14113" max="14113" width="5.625" style="13" customWidth="1"/>
    <col min="14114" max="14114" width="9" style="13"/>
    <col min="14115" max="14115" width="11.625" style="13" bestFit="1" customWidth="1"/>
    <col min="14116" max="14333" width="9" style="13"/>
    <col min="14334" max="14334" width="14.875" style="13" customWidth="1"/>
    <col min="14335" max="14337" width="3.625" style="13" customWidth="1"/>
    <col min="14338" max="14339" width="12.625" style="13" customWidth="1"/>
    <col min="14340" max="14340" width="6" style="13" customWidth="1"/>
    <col min="14341" max="14341" width="12.625" style="13" customWidth="1"/>
    <col min="14342" max="14342" width="6" style="13" customWidth="1"/>
    <col min="14343" max="14352" width="3.875" style="13" customWidth="1"/>
    <col min="14353" max="14353" width="2.5" style="13" customWidth="1"/>
    <col min="14354" max="14354" width="12.375" style="13" customWidth="1"/>
    <col min="14355" max="14355" width="9.125" style="13" bestFit="1" customWidth="1"/>
    <col min="14356" max="14357" width="9" style="13"/>
    <col min="14358" max="14358" width="4.5" style="13" bestFit="1" customWidth="1"/>
    <col min="14359" max="14359" width="9" style="13"/>
    <col min="14360" max="14360" width="4.5" style="13" bestFit="1" customWidth="1"/>
    <col min="14361" max="14362" width="5.625" style="13" customWidth="1"/>
    <col min="14363" max="14363" width="9" style="13"/>
    <col min="14364" max="14364" width="5.625" style="13" customWidth="1"/>
    <col min="14365" max="14365" width="9" style="13"/>
    <col min="14366" max="14367" width="5.625" style="13" customWidth="1"/>
    <col min="14368" max="14368" width="9" style="13"/>
    <col min="14369" max="14369" width="5.625" style="13" customWidth="1"/>
    <col min="14370" max="14370" width="9" style="13"/>
    <col min="14371" max="14371" width="11.625" style="13" bestFit="1" customWidth="1"/>
    <col min="14372" max="14589" width="9" style="13"/>
    <col min="14590" max="14590" width="14.875" style="13" customWidth="1"/>
    <col min="14591" max="14593" width="3.625" style="13" customWidth="1"/>
    <col min="14594" max="14595" width="12.625" style="13" customWidth="1"/>
    <col min="14596" max="14596" width="6" style="13" customWidth="1"/>
    <col min="14597" max="14597" width="12.625" style="13" customWidth="1"/>
    <col min="14598" max="14598" width="6" style="13" customWidth="1"/>
    <col min="14599" max="14608" width="3.875" style="13" customWidth="1"/>
    <col min="14609" max="14609" width="2.5" style="13" customWidth="1"/>
    <col min="14610" max="14610" width="12.375" style="13" customWidth="1"/>
    <col min="14611" max="14611" width="9.125" style="13" bestFit="1" customWidth="1"/>
    <col min="14612" max="14613" width="9" style="13"/>
    <col min="14614" max="14614" width="4.5" style="13" bestFit="1" customWidth="1"/>
    <col min="14615" max="14615" width="9" style="13"/>
    <col min="14616" max="14616" width="4.5" style="13" bestFit="1" customWidth="1"/>
    <col min="14617" max="14618" width="5.625" style="13" customWidth="1"/>
    <col min="14619" max="14619" width="9" style="13"/>
    <col min="14620" max="14620" width="5.625" style="13" customWidth="1"/>
    <col min="14621" max="14621" width="9" style="13"/>
    <col min="14622" max="14623" width="5.625" style="13" customWidth="1"/>
    <col min="14624" max="14624" width="9" style="13"/>
    <col min="14625" max="14625" width="5.625" style="13" customWidth="1"/>
    <col min="14626" max="14626" width="9" style="13"/>
    <col min="14627" max="14627" width="11.625" style="13" bestFit="1" customWidth="1"/>
    <col min="14628" max="14845" width="9" style="13"/>
    <col min="14846" max="14846" width="14.875" style="13" customWidth="1"/>
    <col min="14847" max="14849" width="3.625" style="13" customWidth="1"/>
    <col min="14850" max="14851" width="12.625" style="13" customWidth="1"/>
    <col min="14852" max="14852" width="6" style="13" customWidth="1"/>
    <col min="14853" max="14853" width="12.625" style="13" customWidth="1"/>
    <col min="14854" max="14854" width="6" style="13" customWidth="1"/>
    <col min="14855" max="14864" width="3.875" style="13" customWidth="1"/>
    <col min="14865" max="14865" width="2.5" style="13" customWidth="1"/>
    <col min="14866" max="14866" width="12.375" style="13" customWidth="1"/>
    <col min="14867" max="14867" width="9.125" style="13" bestFit="1" customWidth="1"/>
    <col min="14868" max="14869" width="9" style="13"/>
    <col min="14870" max="14870" width="4.5" style="13" bestFit="1" customWidth="1"/>
    <col min="14871" max="14871" width="9" style="13"/>
    <col min="14872" max="14872" width="4.5" style="13" bestFit="1" customWidth="1"/>
    <col min="14873" max="14874" width="5.625" style="13" customWidth="1"/>
    <col min="14875" max="14875" width="9" style="13"/>
    <col min="14876" max="14876" width="5.625" style="13" customWidth="1"/>
    <col min="14877" max="14877" width="9" style="13"/>
    <col min="14878" max="14879" width="5.625" style="13" customWidth="1"/>
    <col min="14880" max="14880" width="9" style="13"/>
    <col min="14881" max="14881" width="5.625" style="13" customWidth="1"/>
    <col min="14882" max="14882" width="9" style="13"/>
    <col min="14883" max="14883" width="11.625" style="13" bestFit="1" customWidth="1"/>
    <col min="14884" max="15101" width="9" style="13"/>
    <col min="15102" max="15102" width="14.875" style="13" customWidth="1"/>
    <col min="15103" max="15105" width="3.625" style="13" customWidth="1"/>
    <col min="15106" max="15107" width="12.625" style="13" customWidth="1"/>
    <col min="15108" max="15108" width="6" style="13" customWidth="1"/>
    <col min="15109" max="15109" width="12.625" style="13" customWidth="1"/>
    <col min="15110" max="15110" width="6" style="13" customWidth="1"/>
    <col min="15111" max="15120" width="3.875" style="13" customWidth="1"/>
    <col min="15121" max="15121" width="2.5" style="13" customWidth="1"/>
    <col min="15122" max="15122" width="12.375" style="13" customWidth="1"/>
    <col min="15123" max="15123" width="9.125" style="13" bestFit="1" customWidth="1"/>
    <col min="15124" max="15125" width="9" style="13"/>
    <col min="15126" max="15126" width="4.5" style="13" bestFit="1" customWidth="1"/>
    <col min="15127" max="15127" width="9" style="13"/>
    <col min="15128" max="15128" width="4.5" style="13" bestFit="1" customWidth="1"/>
    <col min="15129" max="15130" width="5.625" style="13" customWidth="1"/>
    <col min="15131" max="15131" width="9" style="13"/>
    <col min="15132" max="15132" width="5.625" style="13" customWidth="1"/>
    <col min="15133" max="15133" width="9" style="13"/>
    <col min="15134" max="15135" width="5.625" style="13" customWidth="1"/>
    <col min="15136" max="15136" width="9" style="13"/>
    <col min="15137" max="15137" width="5.625" style="13" customWidth="1"/>
    <col min="15138" max="15138" width="9" style="13"/>
    <col min="15139" max="15139" width="11.625" style="13" bestFit="1" customWidth="1"/>
    <col min="15140" max="15357" width="9" style="13"/>
    <col min="15358" max="15358" width="14.875" style="13" customWidth="1"/>
    <col min="15359" max="15361" width="3.625" style="13" customWidth="1"/>
    <col min="15362" max="15363" width="12.625" style="13" customWidth="1"/>
    <col min="15364" max="15364" width="6" style="13" customWidth="1"/>
    <col min="15365" max="15365" width="12.625" style="13" customWidth="1"/>
    <col min="15366" max="15366" width="6" style="13" customWidth="1"/>
    <col min="15367" max="15376" width="3.875" style="13" customWidth="1"/>
    <col min="15377" max="15377" width="2.5" style="13" customWidth="1"/>
    <col min="15378" max="15378" width="12.375" style="13" customWidth="1"/>
    <col min="15379" max="15379" width="9.125" style="13" bestFit="1" customWidth="1"/>
    <col min="15380" max="15381" width="9" style="13"/>
    <col min="15382" max="15382" width="4.5" style="13" bestFit="1" customWidth="1"/>
    <col min="15383" max="15383" width="9" style="13"/>
    <col min="15384" max="15384" width="4.5" style="13" bestFit="1" customWidth="1"/>
    <col min="15385" max="15386" width="5.625" style="13" customWidth="1"/>
    <col min="15387" max="15387" width="9" style="13"/>
    <col min="15388" max="15388" width="5.625" style="13" customWidth="1"/>
    <col min="15389" max="15389" width="9" style="13"/>
    <col min="15390" max="15391" width="5.625" style="13" customWidth="1"/>
    <col min="15392" max="15392" width="9" style="13"/>
    <col min="15393" max="15393" width="5.625" style="13" customWidth="1"/>
    <col min="15394" max="15394" width="9" style="13"/>
    <col min="15395" max="15395" width="11.625" style="13" bestFit="1" customWidth="1"/>
    <col min="15396" max="15613" width="9" style="13"/>
    <col min="15614" max="15614" width="14.875" style="13" customWidth="1"/>
    <col min="15615" max="15617" width="3.625" style="13" customWidth="1"/>
    <col min="15618" max="15619" width="12.625" style="13" customWidth="1"/>
    <col min="15620" max="15620" width="6" style="13" customWidth="1"/>
    <col min="15621" max="15621" width="12.625" style="13" customWidth="1"/>
    <col min="15622" max="15622" width="6" style="13" customWidth="1"/>
    <col min="15623" max="15632" width="3.875" style="13" customWidth="1"/>
    <col min="15633" max="15633" width="2.5" style="13" customWidth="1"/>
    <col min="15634" max="15634" width="12.375" style="13" customWidth="1"/>
    <col min="15635" max="15635" width="9.125" style="13" bestFit="1" customWidth="1"/>
    <col min="15636" max="15637" width="9" style="13"/>
    <col min="15638" max="15638" width="4.5" style="13" bestFit="1" customWidth="1"/>
    <col min="15639" max="15639" width="9" style="13"/>
    <col min="15640" max="15640" width="4.5" style="13" bestFit="1" customWidth="1"/>
    <col min="15641" max="15642" width="5.625" style="13" customWidth="1"/>
    <col min="15643" max="15643" width="9" style="13"/>
    <col min="15644" max="15644" width="5.625" style="13" customWidth="1"/>
    <col min="15645" max="15645" width="9" style="13"/>
    <col min="15646" max="15647" width="5.625" style="13" customWidth="1"/>
    <col min="15648" max="15648" width="9" style="13"/>
    <col min="15649" max="15649" width="5.625" style="13" customWidth="1"/>
    <col min="15650" max="15650" width="9" style="13"/>
    <col min="15651" max="15651" width="11.625" style="13" bestFit="1" customWidth="1"/>
    <col min="15652" max="15869" width="9" style="13"/>
    <col min="15870" max="15870" width="14.875" style="13" customWidth="1"/>
    <col min="15871" max="15873" width="3.625" style="13" customWidth="1"/>
    <col min="15874" max="15875" width="12.625" style="13" customWidth="1"/>
    <col min="15876" max="15876" width="6" style="13" customWidth="1"/>
    <col min="15877" max="15877" width="12.625" style="13" customWidth="1"/>
    <col min="15878" max="15878" width="6" style="13" customWidth="1"/>
    <col min="15879" max="15888" width="3.875" style="13" customWidth="1"/>
    <col min="15889" max="15889" width="2.5" style="13" customWidth="1"/>
    <col min="15890" max="15890" width="12.375" style="13" customWidth="1"/>
    <col min="15891" max="15891" width="9.125" style="13" bestFit="1" customWidth="1"/>
    <col min="15892" max="15893" width="9" style="13"/>
    <col min="15894" max="15894" width="4.5" style="13" bestFit="1" customWidth="1"/>
    <col min="15895" max="15895" width="9" style="13"/>
    <col min="15896" max="15896" width="4.5" style="13" bestFit="1" customWidth="1"/>
    <col min="15897" max="15898" width="5.625" style="13" customWidth="1"/>
    <col min="15899" max="15899" width="9" style="13"/>
    <col min="15900" max="15900" width="5.625" style="13" customWidth="1"/>
    <col min="15901" max="15901" width="9" style="13"/>
    <col min="15902" max="15903" width="5.625" style="13" customWidth="1"/>
    <col min="15904" max="15904" width="9" style="13"/>
    <col min="15905" max="15905" width="5.625" style="13" customWidth="1"/>
    <col min="15906" max="15906" width="9" style="13"/>
    <col min="15907" max="15907" width="11.625" style="13" bestFit="1" customWidth="1"/>
    <col min="15908" max="16125" width="9" style="13"/>
    <col min="16126" max="16126" width="14.875" style="13" customWidth="1"/>
    <col min="16127" max="16129" width="3.625" style="13" customWidth="1"/>
    <col min="16130" max="16131" width="12.625" style="13" customWidth="1"/>
    <col min="16132" max="16132" width="6" style="13" customWidth="1"/>
    <col min="16133" max="16133" width="12.625" style="13" customWidth="1"/>
    <col min="16134" max="16134" width="6" style="13" customWidth="1"/>
    <col min="16135" max="16144" width="3.875" style="13" customWidth="1"/>
    <col min="16145" max="16145" width="2.5" style="13" customWidth="1"/>
    <col min="16146" max="16146" width="12.375" style="13" customWidth="1"/>
    <col min="16147" max="16147" width="9.125" style="13" bestFit="1" customWidth="1"/>
    <col min="16148" max="16149" width="9" style="13"/>
    <col min="16150" max="16150" width="4.5" style="13" bestFit="1" customWidth="1"/>
    <col min="16151" max="16151" width="9" style="13"/>
    <col min="16152" max="16152" width="4.5" style="13" bestFit="1" customWidth="1"/>
    <col min="16153" max="16154" width="5.625" style="13" customWidth="1"/>
    <col min="16155" max="16155" width="9" style="13"/>
    <col min="16156" max="16156" width="5.625" style="13" customWidth="1"/>
    <col min="16157" max="16157" width="9" style="13"/>
    <col min="16158" max="16159" width="5.625" style="13" customWidth="1"/>
    <col min="16160" max="16160" width="9" style="13"/>
    <col min="16161" max="16161" width="5.625" style="13" customWidth="1"/>
    <col min="16162" max="16162" width="9" style="13"/>
    <col min="16163" max="16163" width="11.625" style="13" bestFit="1" customWidth="1"/>
    <col min="16164" max="16384" width="9" style="13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9" t="s">
        <v>20</v>
      </c>
      <c r="Q1" s="279"/>
      <c r="R1" s="279"/>
      <c r="S1" s="279"/>
      <c r="T1" s="10">
        <f>COUNTA(總表!$D$5:$D$37)</f>
        <v>22</v>
      </c>
      <c r="U1" s="19"/>
    </row>
    <row r="2" spans="1:22" ht="15.75" customHeight="1">
      <c r="A2" s="9"/>
      <c r="B2" s="280" t="s">
        <v>11</v>
      </c>
      <c r="C2" s="280"/>
      <c r="D2" s="280"/>
      <c r="E2" s="280"/>
      <c r="F2" s="280"/>
      <c r="G2" s="280" t="s">
        <v>1190</v>
      </c>
      <c r="H2" s="280"/>
      <c r="I2" s="280"/>
      <c r="J2" s="280"/>
      <c r="K2" s="280"/>
      <c r="L2" s="280"/>
      <c r="M2" s="280"/>
      <c r="N2" s="280"/>
      <c r="O2" s="280"/>
      <c r="P2" s="281" t="s">
        <v>21</v>
      </c>
      <c r="Q2" s="281"/>
      <c r="R2" s="281"/>
      <c r="S2" s="281"/>
      <c r="T2" s="10">
        <f>COUNTA(總表!D17:D23)</f>
        <v>5</v>
      </c>
      <c r="U2" s="18"/>
    </row>
    <row r="3" spans="1:22" ht="14.25" customHeight="1">
      <c r="A3" s="10"/>
      <c r="B3" s="282" t="s">
        <v>22</v>
      </c>
      <c r="C3" s="282" t="s">
        <v>23</v>
      </c>
      <c r="D3" s="282" t="s">
        <v>24</v>
      </c>
      <c r="E3" s="65"/>
      <c r="F3" s="285" t="s">
        <v>25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  <c r="S3" s="288" t="s">
        <v>26</v>
      </c>
      <c r="T3" s="289"/>
      <c r="U3" s="18"/>
    </row>
    <row r="4" spans="1:22" ht="14.25" customHeight="1">
      <c r="A4" s="9"/>
      <c r="B4" s="283"/>
      <c r="C4" s="283"/>
      <c r="D4" s="283"/>
      <c r="E4" s="61"/>
      <c r="F4" s="272" t="s">
        <v>27</v>
      </c>
      <c r="G4" s="278" t="s">
        <v>28</v>
      </c>
      <c r="H4" s="282" t="s">
        <v>29</v>
      </c>
      <c r="I4" s="278" t="s">
        <v>28</v>
      </c>
      <c r="J4" s="282" t="s">
        <v>29</v>
      </c>
      <c r="K4" s="286" t="s">
        <v>30</v>
      </c>
      <c r="L4" s="286"/>
      <c r="M4" s="286"/>
      <c r="N4" s="286"/>
      <c r="O4" s="286"/>
      <c r="P4" s="286"/>
      <c r="Q4" s="286"/>
      <c r="R4" s="287"/>
      <c r="S4" s="290"/>
      <c r="T4" s="291"/>
      <c r="U4" s="18"/>
    </row>
    <row r="5" spans="1:22" ht="14.25" customHeight="1">
      <c r="A5" s="10"/>
      <c r="B5" s="283"/>
      <c r="C5" s="283"/>
      <c r="D5" s="283"/>
      <c r="E5" s="61"/>
      <c r="F5" s="272"/>
      <c r="G5" s="278"/>
      <c r="H5" s="283"/>
      <c r="I5" s="278"/>
      <c r="J5" s="283"/>
      <c r="K5" s="282" t="s">
        <v>31</v>
      </c>
      <c r="L5" s="282" t="s">
        <v>32</v>
      </c>
      <c r="M5" s="282" t="s">
        <v>33</v>
      </c>
      <c r="N5" s="282" t="s">
        <v>34</v>
      </c>
      <c r="O5" s="282" t="s">
        <v>35</v>
      </c>
      <c r="P5" s="294" t="s">
        <v>36</v>
      </c>
      <c r="Q5" s="294" t="s">
        <v>37</v>
      </c>
      <c r="R5" s="297" t="s">
        <v>38</v>
      </c>
      <c r="S5" s="290"/>
      <c r="T5" s="291"/>
      <c r="U5" s="18"/>
    </row>
    <row r="6" spans="1:22" ht="14.25" customHeight="1">
      <c r="A6" s="10" t="s">
        <v>1232</v>
      </c>
      <c r="B6" s="283"/>
      <c r="C6" s="283"/>
      <c r="D6" s="283"/>
      <c r="E6" s="61"/>
      <c r="F6" s="272"/>
      <c r="G6" s="278"/>
      <c r="H6" s="283"/>
      <c r="I6" s="278"/>
      <c r="J6" s="283"/>
      <c r="K6" s="283"/>
      <c r="L6" s="283"/>
      <c r="M6" s="283"/>
      <c r="N6" s="283"/>
      <c r="O6" s="283"/>
      <c r="P6" s="295"/>
      <c r="Q6" s="295"/>
      <c r="R6" s="297"/>
      <c r="S6" s="290"/>
      <c r="T6" s="291"/>
      <c r="U6" s="18"/>
    </row>
    <row r="7" spans="1:22" ht="14.25" customHeight="1">
      <c r="A7" s="9" t="s">
        <v>1233</v>
      </c>
      <c r="B7" s="284"/>
      <c r="C7" s="284"/>
      <c r="D7" s="284"/>
      <c r="E7" s="62"/>
      <c r="F7" s="273"/>
      <c r="G7" s="271"/>
      <c r="H7" s="284"/>
      <c r="I7" s="278"/>
      <c r="J7" s="284"/>
      <c r="K7" s="284"/>
      <c r="L7" s="284"/>
      <c r="M7" s="284"/>
      <c r="N7" s="284"/>
      <c r="O7" s="284"/>
      <c r="P7" s="296"/>
      <c r="Q7" s="296"/>
      <c r="R7" s="297"/>
      <c r="S7" s="292"/>
      <c r="T7" s="293"/>
      <c r="U7" s="18"/>
    </row>
    <row r="8" spans="1:22" ht="14.25" customHeight="1">
      <c r="A8" s="9"/>
      <c r="B8" s="314">
        <f>DATE(YEAR(第二周!B56),MONTH(第二周!B56),DAY(第二周!B56)+3)</f>
        <v>45271</v>
      </c>
      <c r="C8" s="315" t="s">
        <v>39</v>
      </c>
      <c r="D8" s="315" t="s">
        <v>40</v>
      </c>
      <c r="E8" s="73">
        <v>1</v>
      </c>
      <c r="F8" s="271" t="str">
        <f>LEFT(總表!$D17,IF(F11=0,LEN(總表!$D17)+3,LEN(總表!$D17)-3))</f>
        <v>肉燥米粉湯</v>
      </c>
      <c r="G8" s="21" t="str">
        <f>IFERROR(IF(VLOOKUP($E8&amp;+$F$8,依據!$A:$C,3,FALSE)=0,"",VLOOKUP($E8&amp;+$F$8,依據!$A:$C,3,FALSE)),"")</f>
        <v>鮮香菇</v>
      </c>
      <c r="H8" s="21">
        <f>IFERROR(IF(VLOOKUP($E8&amp;+$F$8,依據!$A:$D,4,FALSE)=0,"",(VLOOKUP($E8&amp;+$F$8,依據!$A:$D,4,FALSE))),"")</f>
        <v>0.6</v>
      </c>
      <c r="I8" s="20" t="str">
        <f>IFERROR(IF(VLOOKUP($E8&amp;+$F$8,依據!$A:$E,5,FALSE)=0,"",VLOOKUP($E8&amp;+$F$8,依據!$A:$E,5,FALSE)),"")</f>
        <v>芹菜</v>
      </c>
      <c r="J8" s="34">
        <f>IFERROR(IF(VLOOKUP($E8&amp;+$F$8,依據!$A:$F,6,FALSE)=0,"",(VLOOKUP($E8&amp;+$F$8,依據!$A:$F,6,FALSE))),"")</f>
        <v>0.2</v>
      </c>
      <c r="K8" s="274">
        <v>2.2999999999999998</v>
      </c>
      <c r="L8" s="277">
        <v>0.5</v>
      </c>
      <c r="M8" s="277">
        <v>0</v>
      </c>
      <c r="N8" s="298">
        <v>0.2</v>
      </c>
      <c r="O8" s="277">
        <v>1</v>
      </c>
      <c r="P8" s="277">
        <f>IF($F8="不供餐","",IFERROR(VLOOKUP($F8,依據!$B:Q,16,FALSE),0)+IFERROR(VLOOKUP($F11,依據!$B:Q,16,FALSE),0))</f>
        <v>0</v>
      </c>
      <c r="Q8" s="277">
        <f>IF($F8="不供餐","",IFERROR(VLOOKUP($F8,依據!$B:R,17,FALSE),0)+IFERROR(VLOOKUP($F11,依據!$B:R,17,FALSE),0))</f>
        <v>0</v>
      </c>
      <c r="R8" s="301">
        <f>IF($F8="不供餐","",SUM(K8*70+L8*75+M8*120+N8*25+O8*60+P8*45+Q8*4))</f>
        <v>263.5</v>
      </c>
      <c r="S8" s="303" t="s">
        <v>1150</v>
      </c>
      <c r="T8" s="291"/>
      <c r="U8" s="18"/>
    </row>
    <row r="9" spans="1:22" ht="14.25" customHeight="1">
      <c r="A9" s="9"/>
      <c r="B9" s="267"/>
      <c r="C9" s="230"/>
      <c r="D9" s="230"/>
      <c r="E9" s="63">
        <v>2</v>
      </c>
      <c r="F9" s="272"/>
      <c r="G9" s="22" t="str">
        <f>IFERROR(IF(VLOOKUP($E9&amp;+$F$8,依據!$A:$C,3,FALSE)=0,"",VLOOKUP($E9&amp;+$F$8,依據!$A:$C,3,FALSE)),"")</f>
        <v>中粗米粉</v>
      </c>
      <c r="H9" s="22" t="str">
        <f>IFERROR(IF(VLOOKUP($E9&amp;+$F$8,依據!$A:$D,4,FALSE)=0,"",(VLOOKUP($E9&amp;+$F$8,依據!$A:$D,4,FALSE))),"")</f>
        <v>4包</v>
      </c>
      <c r="I9" s="23" t="str">
        <f>IFERROR(IF(VLOOKUP($E9&amp;+$F$8,依據!$A:$E,5,FALSE)=0,"",VLOOKUP($E9&amp;+$F$8,依據!$A:$E,5,FALSE)),"")</f>
        <v>豆芽菜</v>
      </c>
      <c r="J9" s="36">
        <f>IFERROR(IF(VLOOKUP($E9&amp;+$F$8,依據!$A:$F,6,FALSE)=0,"",(VLOOKUP($E9&amp;+$F$8,依據!$A:$F,6,FALSE))),"")</f>
        <v>0.6</v>
      </c>
      <c r="K9" s="275"/>
      <c r="L9" s="275"/>
      <c r="M9" s="275"/>
      <c r="N9" s="299"/>
      <c r="O9" s="275"/>
      <c r="P9" s="275"/>
      <c r="Q9" s="275"/>
      <c r="R9" s="302"/>
      <c r="S9" s="303"/>
      <c r="T9" s="291"/>
      <c r="U9" s="18"/>
    </row>
    <row r="10" spans="1:22" ht="14.25" customHeight="1">
      <c r="A10" s="9"/>
      <c r="B10" s="267"/>
      <c r="C10" s="230"/>
      <c r="D10" s="230"/>
      <c r="E10" s="63">
        <v>3</v>
      </c>
      <c r="F10" s="273"/>
      <c r="G10" s="24" t="str">
        <f>IFERROR(IF(VLOOKUP($E10&amp;+$F$8,依據!$A:$C,3,FALSE)=0,"",VLOOKUP($E10&amp;+$F$8,依據!$A:$C,3,FALSE)),"")</f>
        <v>豬絞肉</v>
      </c>
      <c r="H10" s="24">
        <f>IFERROR(IF(VLOOKUP($E10&amp;+$F$8,依據!$A:$D,4,FALSE)=0,"",(VLOOKUP($E10&amp;+$F$8,依據!$A:$D,4,FALSE))),"")</f>
        <v>0.6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5"/>
      <c r="L10" s="275"/>
      <c r="M10" s="275"/>
      <c r="N10" s="299"/>
      <c r="O10" s="275"/>
      <c r="P10" s="275"/>
      <c r="Q10" s="275"/>
      <c r="R10" s="302"/>
      <c r="S10" s="303"/>
      <c r="T10" s="291"/>
      <c r="U10" s="18"/>
    </row>
    <row r="11" spans="1:22" ht="14.25" customHeight="1">
      <c r="A11" s="9"/>
      <c r="B11" s="267"/>
      <c r="C11" s="230"/>
      <c r="D11" s="230"/>
      <c r="E11" s="63">
        <v>1</v>
      </c>
      <c r="F11" s="316" t="str">
        <f>IFERROR(IF(FIND("+水果",總表!$D17)&gt;0,"水果",""),0)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1249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5"/>
      <c r="L11" s="275"/>
      <c r="M11" s="275"/>
      <c r="N11" s="299"/>
      <c r="O11" s="275"/>
      <c r="P11" s="275"/>
      <c r="Q11" s="275"/>
      <c r="R11" s="302"/>
      <c r="S11" s="303"/>
      <c r="T11" s="291"/>
      <c r="U11" s="19"/>
      <c r="V11"/>
    </row>
    <row r="12" spans="1:22" ht="14.25" customHeight="1">
      <c r="A12" s="9"/>
      <c r="B12" s="267"/>
      <c r="C12" s="230"/>
      <c r="D12" s="230"/>
      <c r="E12" s="63">
        <v>2</v>
      </c>
      <c r="F12" s="306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5"/>
      <c r="L12" s="275"/>
      <c r="M12" s="275"/>
      <c r="N12" s="299"/>
      <c r="O12" s="275"/>
      <c r="P12" s="275"/>
      <c r="Q12" s="275"/>
      <c r="R12" s="302"/>
      <c r="S12" s="303"/>
      <c r="T12" s="291"/>
      <c r="U12" s="19"/>
      <c r="V12"/>
    </row>
    <row r="13" spans="1:22" ht="14.25" customHeight="1">
      <c r="A13" s="9"/>
      <c r="B13" s="267"/>
      <c r="C13" s="230"/>
      <c r="D13" s="270"/>
      <c r="E13" s="64">
        <v>3</v>
      </c>
      <c r="F13" s="307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6"/>
      <c r="L13" s="276"/>
      <c r="M13" s="276"/>
      <c r="N13" s="300"/>
      <c r="O13" s="276"/>
      <c r="P13" s="276"/>
      <c r="Q13" s="276"/>
      <c r="R13" s="302"/>
      <c r="S13" s="304"/>
      <c r="T13" s="293"/>
      <c r="U13" s="19"/>
    </row>
    <row r="14" spans="1:22" ht="14.25" customHeight="1">
      <c r="A14" s="9"/>
      <c r="B14" s="267"/>
      <c r="C14" s="230"/>
      <c r="D14" s="230" t="s">
        <v>41</v>
      </c>
      <c r="E14" s="73">
        <v>1</v>
      </c>
      <c r="F14" s="308" t="str">
        <f>IFERROR(LEFT(總表!$E17,FIND("+",總表!$E17)-1),總表!$E17)</f>
        <v>綜合滷味</v>
      </c>
      <c r="G14" s="21" t="str">
        <f>IFERROR(IF(VLOOKUP($E14&amp;+$F$14,依據!$A:$C,3,FALSE)=0,"",VLOOKUP($E14&amp;+$F$14,依據!$A:$C,3,FALSE)),"")</f>
        <v>白蘿蔔</v>
      </c>
      <c r="H14" s="21">
        <v>2</v>
      </c>
      <c r="I14" s="20" t="s">
        <v>1229</v>
      </c>
      <c r="J14" s="34" t="s">
        <v>1230</v>
      </c>
      <c r="K14" s="274">
        <v>0.8</v>
      </c>
      <c r="L14" s="277">
        <v>0.3</v>
      </c>
      <c r="M14" s="277">
        <v>0</v>
      </c>
      <c r="N14" s="298">
        <v>0.4</v>
      </c>
      <c r="O14" s="277">
        <v>0</v>
      </c>
      <c r="P14" s="277">
        <v>1</v>
      </c>
      <c r="Q14" s="277">
        <v>20</v>
      </c>
      <c r="R14" s="301">
        <f>IF($F14="不供餐","",SUM(K14*70+L14*75+M14*120+N14*25+O14*60+P14*45+Q14*4))</f>
        <v>213.5</v>
      </c>
      <c r="S14" s="303" t="str">
        <f>_xlfn.IFS(COUNTIF($F14,"水果拼盤")=1,"水果3種",(COUNTIF($F14,"水果拼盤"))=0,"")</f>
        <v/>
      </c>
      <c r="T14" s="291"/>
      <c r="U14" s="19"/>
    </row>
    <row r="15" spans="1:22" ht="14.25" customHeight="1">
      <c r="A15" s="9"/>
      <c r="B15" s="267"/>
      <c r="C15" s="230"/>
      <c r="D15" s="230"/>
      <c r="E15" s="63">
        <v>2</v>
      </c>
      <c r="F15" s="309"/>
      <c r="G15" s="22" t="str">
        <f>IFERROR(IF(VLOOKUP($E15&amp;+$F$14,依據!$A:$C,3,FALSE)=0,"",VLOOKUP($E15&amp;+$F$14,依據!$A:$C,3,FALSE)),"")</f>
        <v>竹輪</v>
      </c>
      <c r="H15" s="22">
        <f>IFERROR(IF(VLOOKUP($E15&amp;+$F$14,依據!$A:$D,4,FALSE)=0,"",(VLOOKUP($E15&amp;+$F$14,依據!$A:$D,4,FALSE))),"")</f>
        <v>0.6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5"/>
      <c r="L15" s="275"/>
      <c r="M15" s="275"/>
      <c r="N15" s="299"/>
      <c r="O15" s="275"/>
      <c r="P15" s="275"/>
      <c r="Q15" s="275"/>
      <c r="R15" s="302"/>
      <c r="S15" s="303"/>
      <c r="T15" s="291"/>
      <c r="U15" s="19"/>
    </row>
    <row r="16" spans="1:22" ht="14.25" customHeight="1">
      <c r="A16" s="9"/>
      <c r="B16" s="267"/>
      <c r="C16" s="230"/>
      <c r="D16" s="230"/>
      <c r="E16" s="63">
        <v>3</v>
      </c>
      <c r="F16" s="310"/>
      <c r="G16" s="24" t="str">
        <f>IFERROR(IF(VLOOKUP($E16&amp;+$F$14,依據!$A:$C,3,FALSE)=0,"",VLOOKUP($E16&amp;+$F$14,依據!$A:$C,3,FALSE)),"")</f>
        <v>大黑豆干</v>
      </c>
      <c r="H16" s="24">
        <f>IFERROR(IF(VLOOKUP($E16&amp;+$F$14,依據!$A:$D,4,FALSE)=0,"",(VLOOKUP($E16&amp;+$F$14,依據!$A:$D,4,FALSE))),"")</f>
        <v>1.5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5"/>
      <c r="L16" s="275"/>
      <c r="M16" s="275"/>
      <c r="N16" s="299"/>
      <c r="O16" s="275"/>
      <c r="P16" s="275"/>
      <c r="Q16" s="275"/>
      <c r="R16" s="302"/>
      <c r="S16" s="303"/>
      <c r="T16" s="291"/>
      <c r="U16" s="19"/>
    </row>
    <row r="17" spans="1:21" ht="14.25" customHeight="1">
      <c r="A17" s="9"/>
      <c r="B17" s="267"/>
      <c r="C17" s="230"/>
      <c r="D17" s="230"/>
      <c r="E17" s="63">
        <v>1</v>
      </c>
      <c r="F17" s="336" t="str">
        <f>IFERROR(IF(FIND("+",總表!$E17)&gt;0,RIGHT(總表!$E17,LEN(總表!$E17)-FIND("+",總表!$E17)),""),0)</f>
        <v>紅棗枸杞茶</v>
      </c>
      <c r="G17" s="21" t="str">
        <f>IFERROR(IF(VLOOKUP($E17&amp;+$F$17,依據!$A:$C,3,FALSE)=0,"",VLOOKUP($E17&amp;+$F$17,依據!$A:$C,3,FALSE)),"")</f>
        <v>紅棗</v>
      </c>
      <c r="H17" s="21">
        <f>IFERROR(IF(VLOOKUP($E17&amp;+$F$17,依據!$A:$D,4,FALSE)=0,"",(VLOOKUP($E17&amp;+$F$17,依據!$A:$D,4,FALSE))),"")</f>
        <v>0.1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5"/>
      <c r="L17" s="275"/>
      <c r="M17" s="275"/>
      <c r="N17" s="299"/>
      <c r="O17" s="275"/>
      <c r="P17" s="275"/>
      <c r="Q17" s="275"/>
      <c r="R17" s="302"/>
      <c r="S17" s="303"/>
      <c r="T17" s="291"/>
      <c r="U17" s="19"/>
    </row>
    <row r="18" spans="1:21" ht="14.25" customHeight="1">
      <c r="A18" s="9"/>
      <c r="B18" s="267"/>
      <c r="C18" s="230"/>
      <c r="D18" s="230"/>
      <c r="E18" s="63">
        <v>2</v>
      </c>
      <c r="F18" s="337"/>
      <c r="G18" s="22" t="str">
        <f>IFERROR(IF(VLOOKUP($E18&amp;+$F$17,依據!$A:$C,3,FALSE)=0,"",VLOOKUP($E18&amp;+$F$17,依據!$A:$C,3,FALSE)),"")</f>
        <v>枸杞</v>
      </c>
      <c r="H18" s="22">
        <f>IFERROR(IF(VLOOKUP($E18&amp;+$F$17,依據!$A:$D,4,FALSE)=0,"",(VLOOKUP($E18&amp;+$F$17,依據!$A:$D,4,FALSE))),"")</f>
        <v>0.1</v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5"/>
      <c r="L18" s="275"/>
      <c r="M18" s="275"/>
      <c r="N18" s="299"/>
      <c r="O18" s="275"/>
      <c r="P18" s="275"/>
      <c r="Q18" s="275"/>
      <c r="R18" s="302"/>
      <c r="S18" s="303"/>
      <c r="T18" s="291"/>
      <c r="U18" s="19"/>
    </row>
    <row r="19" spans="1:21" ht="14.25" customHeight="1">
      <c r="A19" s="9"/>
      <c r="B19" s="268"/>
      <c r="C19" s="270"/>
      <c r="D19" s="270"/>
      <c r="E19" s="64">
        <v>3</v>
      </c>
      <c r="F19" s="338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6"/>
      <c r="L19" s="276"/>
      <c r="M19" s="276"/>
      <c r="N19" s="300"/>
      <c r="O19" s="276"/>
      <c r="P19" s="276"/>
      <c r="Q19" s="276"/>
      <c r="R19" s="302"/>
      <c r="S19" s="304"/>
      <c r="T19" s="293"/>
      <c r="U19" s="19"/>
    </row>
    <row r="20" spans="1:21" ht="14.25" customHeight="1">
      <c r="A20" s="9"/>
      <c r="B20" s="314">
        <f>DATE(YEAR(B8),MONTH(B8),DAY(B8)+1)</f>
        <v>45272</v>
      </c>
      <c r="C20" s="315" t="s">
        <v>15</v>
      </c>
      <c r="D20" s="315" t="s">
        <v>40</v>
      </c>
      <c r="E20" s="73">
        <v>1</v>
      </c>
      <c r="F20" s="271" t="str">
        <f>LEFT(總表!$D18,IF(F23=0,LEN(總表!$D18)+3,LEN(總表!$D18)-3))</f>
        <v>番茄蛋麵</v>
      </c>
      <c r="G20" s="21" t="str">
        <f>IFERROR(IF(VLOOKUP($E20&amp;+$F$20,依據!$A:$C,3,FALSE)=0,"",VLOOKUP($E20&amp;+$F$20,依據!$A:$C,3,FALSE)),"")</f>
        <v>番茄</v>
      </c>
      <c r="H20" s="21">
        <f>IFERROR(IF(VLOOKUP($E20&amp;+$F$20,依據!$A:$D,4,FALSE)=0,"",(VLOOKUP($E20&amp;+$F$20,依據!$A:$D,4,FALSE))),"")</f>
        <v>1.5</v>
      </c>
      <c r="I20" s="20" t="str">
        <f>IFERROR(IF(VLOOKUP($E20&amp;+$F$20,依據!$A:$E,5,FALSE)=0,"",VLOOKUP($E20&amp;+$F$20,依據!$A:$E,5,FALSE)),"")</f>
        <v>小白菜</v>
      </c>
      <c r="J20" s="34">
        <f>IFERROR(IF(VLOOKUP($E20&amp;+$F$20,依據!$A:$F,6,FALSE)=0,"",(VLOOKUP($E20&amp;+$F$20,依據!$A:$F,6,FALSE))),"")</f>
        <v>0.6</v>
      </c>
      <c r="K20" s="274">
        <f>IF($F20="不供餐","",IFERROR(VLOOKUP($F20,依據!$B:L,11,FALSE),0)+IFERROR(VLOOKUP($F23,依據!$B:L,11,FALSE),0))</f>
        <v>1.2</v>
      </c>
      <c r="L20" s="277">
        <f>IF($F20="不供餐","",IFERROR(VLOOKUP($F20,依據!$B:M,12,FALSE),0)+IFERROR(VLOOKUP($F23,依據!$B:M,12,FALSE),0))</f>
        <v>0.30769230769230771</v>
      </c>
      <c r="M20" s="277">
        <f>IF($F20="不供餐","",IFERROR(VLOOKUP($F20,依據!$B:N,13,FALSE),0)+IFERROR(VLOOKUP($F23,依據!$B:N,13,FALSE),0))</f>
        <v>0</v>
      </c>
      <c r="N20" s="298">
        <f>IF($F20="不供餐","",IFERROR(VLOOKUP($F20,依據!$B:O,14,FALSE),0)+IFERROR(VLOOKUP($F23,依據!$B:O,14,FALSE),0))</f>
        <v>0.16</v>
      </c>
      <c r="O20" s="277">
        <f>IF($F20="不供餐","",IFERROR(VLOOKUP($F20,依據!$B:P,15,FALSE),0)+IFERROR(VLOOKUP($F23,依據!$B:P,15,FALSE),0))</f>
        <v>1.04</v>
      </c>
      <c r="P20" s="277">
        <f>IF($F20="不供餐","",IFERROR(VLOOKUP($F20,依據!$B:Q,16,FALSE),0)+IFERROR(VLOOKUP($F23,依據!$B:Q,16,FALSE),0))</f>
        <v>0</v>
      </c>
      <c r="Q20" s="277">
        <f>IF($F20="不供餐","",IFERROR(VLOOKUP($F20,依據!$B:R,17,FALSE),0)+IFERROR(VLOOKUP($F23,依據!$B:R,17,FALSE),0))</f>
        <v>0</v>
      </c>
      <c r="R20" s="301">
        <f>IF($F20="不供餐","",SUM(K20*70+L20*75+M20*120+N20*25+O20*60+P20*45+Q20*4))</f>
        <v>173.47692307692307</v>
      </c>
      <c r="S20" s="303" t="str">
        <f>_xlfn.IFS(COUNTIF($F23,"水果")=1,"水果1種",(COUNTIF($F23,"水果"))=0,"")</f>
        <v>水果1種</v>
      </c>
      <c r="T20" s="291"/>
      <c r="U20" s="19"/>
    </row>
    <row r="21" spans="1:21" ht="14.25" customHeight="1">
      <c r="A21" s="9"/>
      <c r="B21" s="267"/>
      <c r="C21" s="230"/>
      <c r="D21" s="230"/>
      <c r="E21" s="63">
        <v>2</v>
      </c>
      <c r="F21" s="272"/>
      <c r="G21" s="22" t="str">
        <f>IFERROR(IF(VLOOKUP($E21&amp;+$F$20,依據!$A:$C,3,FALSE)=0,"",VLOOKUP($E21&amp;+$F$20,依據!$A:$C,3,FALSE)),"")</f>
        <v>雞蛋</v>
      </c>
      <c r="H21" s="22">
        <f>IFERROR(IF(VLOOKUP($E21&amp;+$F$20,依據!$A:$D,4,FALSE)=0,"",(VLOOKUP($E21&amp;+$F$20,依據!$A:$D,4,FALSE))),"")</f>
        <v>1</v>
      </c>
      <c r="I21" s="23" t="str">
        <f>IFERROR(IF(VLOOKUP($E21&amp;+$F$20,依據!$A:$E,5,FALSE)=0,"",VLOOKUP($E21&amp;+$F$20,依據!$A:$E,5,FALSE)),"")</f>
        <v>木耳</v>
      </c>
      <c r="J21" s="36">
        <f>IFERROR(IF(VLOOKUP($E21&amp;+$F$20,依據!$A:$F,6,FALSE)=0,"",(VLOOKUP($E21&amp;+$F$20,依據!$A:$F,6,FALSE))),"")</f>
        <v>0.2</v>
      </c>
      <c r="K21" s="275"/>
      <c r="L21" s="275"/>
      <c r="M21" s="275"/>
      <c r="N21" s="299"/>
      <c r="O21" s="275"/>
      <c r="P21" s="275"/>
      <c r="Q21" s="275"/>
      <c r="R21" s="302"/>
      <c r="S21" s="303"/>
      <c r="T21" s="291"/>
      <c r="U21" s="19"/>
    </row>
    <row r="22" spans="1:21" ht="14.25" customHeight="1">
      <c r="A22" s="9"/>
      <c r="B22" s="267"/>
      <c r="C22" s="230"/>
      <c r="D22" s="230"/>
      <c r="E22" s="63">
        <v>3</v>
      </c>
      <c r="F22" s="273"/>
      <c r="G22" s="24" t="str">
        <f>IFERROR(IF(VLOOKUP($E22&amp;+$F$20,依據!$A:$C,3,FALSE)=0,"",VLOOKUP($E22&amp;+$F$20,依據!$A:$C,3,FALSE)),"")</f>
        <v>細烏龍麵</v>
      </c>
      <c r="H22" s="24">
        <f>IFERROR(IF(VLOOKUP($E22&amp;+$F$20,依據!$A:$D,4,FALSE)=0,"",(VLOOKUP($E22&amp;+$F$20,依據!$A:$D,4,FALSE))),"")</f>
        <v>3.6</v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75"/>
      <c r="L22" s="275"/>
      <c r="M22" s="275"/>
      <c r="N22" s="299"/>
      <c r="O22" s="275"/>
      <c r="P22" s="275"/>
      <c r="Q22" s="275"/>
      <c r="R22" s="302"/>
      <c r="S22" s="303"/>
      <c r="T22" s="291"/>
      <c r="U22" s="19"/>
    </row>
    <row r="23" spans="1:21" ht="14.25" customHeight="1">
      <c r="A23" s="43"/>
      <c r="B23" s="267"/>
      <c r="C23" s="230"/>
      <c r="D23" s="230"/>
      <c r="E23" s="63">
        <v>1</v>
      </c>
      <c r="F23" s="316" t="str">
        <f>IFERROR(IF(FIND("+水果",總表!$D18)&gt;0,"水果",""),0)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1249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5"/>
      <c r="L23" s="275"/>
      <c r="M23" s="275"/>
      <c r="N23" s="299"/>
      <c r="O23" s="275"/>
      <c r="P23" s="275"/>
      <c r="Q23" s="275"/>
      <c r="R23" s="302"/>
      <c r="S23" s="303"/>
      <c r="T23" s="291"/>
      <c r="U23" s="19"/>
    </row>
    <row r="24" spans="1:21" ht="14.25" customHeight="1">
      <c r="A24" s="44"/>
      <c r="B24" s="267"/>
      <c r="C24" s="230"/>
      <c r="D24" s="230"/>
      <c r="E24" s="63">
        <v>2</v>
      </c>
      <c r="F24" s="306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5"/>
      <c r="L24" s="275"/>
      <c r="M24" s="275"/>
      <c r="N24" s="299"/>
      <c r="O24" s="275"/>
      <c r="P24" s="275"/>
      <c r="Q24" s="275"/>
      <c r="R24" s="302"/>
      <c r="S24" s="303"/>
      <c r="T24" s="291"/>
      <c r="U24" s="19"/>
    </row>
    <row r="25" spans="1:21" ht="14.25" customHeight="1">
      <c r="A25" s="44"/>
      <c r="B25" s="267"/>
      <c r="C25" s="230"/>
      <c r="D25" s="270"/>
      <c r="E25" s="64">
        <v>3</v>
      </c>
      <c r="F25" s="307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6"/>
      <c r="L25" s="276"/>
      <c r="M25" s="276"/>
      <c r="N25" s="300"/>
      <c r="O25" s="276"/>
      <c r="P25" s="276"/>
      <c r="Q25" s="276"/>
      <c r="R25" s="302"/>
      <c r="S25" s="304"/>
      <c r="T25" s="293"/>
      <c r="U25" s="19"/>
    </row>
    <row r="26" spans="1:21" ht="14.25" customHeight="1">
      <c r="A26" s="9"/>
      <c r="B26" s="267"/>
      <c r="C26" s="230"/>
      <c r="D26" s="230" t="s">
        <v>41</v>
      </c>
      <c r="E26" s="73">
        <v>1</v>
      </c>
      <c r="F26" s="308" t="str">
        <f>IFERROR(LEFT(總表!$E18,FIND("+",總表!$E18)-1),總表!$E18)</f>
        <v>黑糖西米露</v>
      </c>
      <c r="G26" s="21" t="str">
        <f>IFERROR(IF(VLOOKUP($E26&amp;+$F$26,依據!$A:$C,3,FALSE)=0,"",VLOOKUP($E26&amp;+$F$26,依據!$A:$C,3,FALSE)),"")</f>
        <v>西谷米</v>
      </c>
      <c r="H26" s="21">
        <f>IFERROR(IF(VLOOKUP($E26&amp;+$F$26,依據!$A:$D,4,FALSE)=0,"",(VLOOKUP($E26&amp;+$F$26,依據!$A:$D,4,FALSE))),"")</f>
        <v>0.6</v>
      </c>
      <c r="I26" s="20" t="str">
        <f>IFERROR(IF(VLOOKUP($E26&amp;+$F$26,依據!$A:$E,5,FALSE)=0,"",VLOOKUP($E26&amp;+$F$26,依據!$A:$E,5,FALSE)),"")</f>
        <v>二砂糖</v>
      </c>
      <c r="J26" s="34">
        <f>IFERROR(IF(VLOOKUP($E26&amp;+$F$26,依據!$A:$F,6,FALSE)=0,"",(VLOOKUP($E26&amp;+$F$26,依據!$A:$F,6,FALSE))),"")</f>
        <v>1</v>
      </c>
      <c r="K26" s="274">
        <f>IF($F26="不供餐","",IFERROR(VLOOKUP($F26,依據!$B:L,11,FALSE),0)+IFERROR(VLOOKUP($F29,依據!$B:L,11,FALSE),0))</f>
        <v>1.5272727272727273</v>
      </c>
      <c r="L26" s="277">
        <f>IF($F26="不供餐","",IFERROR(VLOOKUP($F26,依據!$B:M,12,FALSE),0)+IFERROR(VLOOKUP($F29,依據!$B:M,12,FALSE),0))</f>
        <v>0</v>
      </c>
      <c r="M26" s="277">
        <f>IF($F26="不供餐","",IFERROR(VLOOKUP($F26,依據!$B:N,13,FALSE),0)+IFERROR(VLOOKUP($F29,依據!$B:N,13,FALSE),0))</f>
        <v>0</v>
      </c>
      <c r="N26" s="298">
        <f>IF($F26="不供餐","",IFERROR(VLOOKUP($F26,依據!$B:O,14,FALSE),0)+IFERROR(VLOOKUP($F29,依據!$B:O,14,FALSE),0))</f>
        <v>0</v>
      </c>
      <c r="O26" s="277">
        <f>IF($F26="不供餐","",IFERROR(VLOOKUP($F26,依據!$B:P,15,FALSE),0)+IFERROR(VLOOKUP($F29,依據!$B:P,15,FALSE),0))</f>
        <v>0</v>
      </c>
      <c r="P26" s="277">
        <f>IF($F26="不供餐","",IFERROR(VLOOKUP($F26,依據!$B:Q,16,FALSE),0)+IFERROR(VLOOKUP($F29,依據!$B:Q,16,FALSE),0))</f>
        <v>0</v>
      </c>
      <c r="Q26" s="277">
        <f>IF($F26="不供餐","",IFERROR(VLOOKUP($F26,依據!$B:R,17,FALSE),0)+IFERROR(VLOOKUP($F29,依據!$B:R,17,FALSE),0))</f>
        <v>32</v>
      </c>
      <c r="R26" s="301">
        <f>IF($F26="不供餐","",SUM(K26*70+L26*75+M26*120+N26*25+O26*60+P26*45+Q26*4))</f>
        <v>234.90909090909091</v>
      </c>
      <c r="S26" s="303" t="str">
        <f>_xlfn.IFS(COUNTIF($F26,"水果拼盤")=1,"水果3種",(COUNTIF($F26,"水果拼盤"))=0,"")</f>
        <v/>
      </c>
      <c r="T26" s="291"/>
      <c r="U26" s="19"/>
    </row>
    <row r="27" spans="1:21" ht="14.25" customHeight="1">
      <c r="A27" s="9"/>
      <c r="B27" s="267"/>
      <c r="C27" s="230"/>
      <c r="D27" s="230"/>
      <c r="E27" s="63">
        <v>2</v>
      </c>
      <c r="F27" s="309"/>
      <c r="G27" s="22" t="str">
        <f>IFERROR(IF(VLOOKUP($E27&amp;+$F$26,依據!$A:$C,3,FALSE)=0,"",VLOOKUP($E27&amp;+$F$26,依據!$A:$C,3,FALSE)),"")</f>
        <v>黑糖</v>
      </c>
      <c r="H27" s="22">
        <f>IFERROR(IF(VLOOKUP($E27&amp;+$F$26,依據!$A:$D,4,FALSE)=0,"",(VLOOKUP($E27&amp;+$F$26,依據!$A:$D,4,FALSE))),"")</f>
        <v>0.6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5"/>
      <c r="L27" s="275"/>
      <c r="M27" s="275"/>
      <c r="N27" s="299"/>
      <c r="O27" s="275"/>
      <c r="P27" s="275"/>
      <c r="Q27" s="275"/>
      <c r="R27" s="302"/>
      <c r="S27" s="303"/>
      <c r="T27" s="291"/>
      <c r="U27" s="19"/>
    </row>
    <row r="28" spans="1:21" ht="14.25" customHeight="1">
      <c r="A28" s="9"/>
      <c r="B28" s="267"/>
      <c r="C28" s="230"/>
      <c r="D28" s="230"/>
      <c r="E28" s="63">
        <v>3</v>
      </c>
      <c r="F28" s="310"/>
      <c r="G28" s="24" t="str">
        <f>IFERROR(IF(VLOOKUP($E28&amp;+$F$26,依據!$A:$C,3,FALSE)=0,"",VLOOKUP($E28&amp;+$F$26,依據!$A:$C,3,FALSE)),"")</f>
        <v>冷凍芋頭丁</v>
      </c>
      <c r="H28" s="24">
        <f>IFERROR(IF(VLOOKUP($E28&amp;+$F$26,依據!$A:$D,4,FALSE)=0,"",(VLOOKUP($E28&amp;+$F$26,依據!$A:$D,4,FALSE))),"")</f>
        <v>2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5"/>
      <c r="L28" s="275"/>
      <c r="M28" s="275"/>
      <c r="N28" s="299"/>
      <c r="O28" s="275"/>
      <c r="P28" s="275"/>
      <c r="Q28" s="275"/>
      <c r="R28" s="302"/>
      <c r="S28" s="303"/>
      <c r="T28" s="291"/>
      <c r="U28" s="19"/>
    </row>
    <row r="29" spans="1:21" ht="14.25" customHeight="1">
      <c r="A29" s="9"/>
      <c r="B29" s="267"/>
      <c r="C29" s="230"/>
      <c r="D29" s="230"/>
      <c r="E29" s="63">
        <v>1</v>
      </c>
      <c r="F29" s="311">
        <f>IFERROR(IF(FIND("+",總表!$E18)&gt;0,RIGHT(總表!$E18,LEN(總表!$E18)-FIND("+",總表!$E18)),""),0)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5"/>
      <c r="L29" s="275"/>
      <c r="M29" s="275"/>
      <c r="N29" s="299"/>
      <c r="O29" s="275"/>
      <c r="P29" s="275"/>
      <c r="Q29" s="275"/>
      <c r="R29" s="302"/>
      <c r="S29" s="303"/>
      <c r="T29" s="291"/>
      <c r="U29" s="19"/>
    </row>
    <row r="30" spans="1:21" ht="14.25" customHeight="1">
      <c r="A30" s="9"/>
      <c r="B30" s="267"/>
      <c r="C30" s="230"/>
      <c r="D30" s="230"/>
      <c r="E30" s="63">
        <v>2</v>
      </c>
      <c r="F30" s="312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5"/>
      <c r="L30" s="275"/>
      <c r="M30" s="275"/>
      <c r="N30" s="299"/>
      <c r="O30" s="275"/>
      <c r="P30" s="275"/>
      <c r="Q30" s="275"/>
      <c r="R30" s="302"/>
      <c r="S30" s="303"/>
      <c r="T30" s="291"/>
      <c r="U30" s="19"/>
    </row>
    <row r="31" spans="1:21" ht="14.25" customHeight="1">
      <c r="A31" s="9"/>
      <c r="B31" s="268"/>
      <c r="C31" s="270"/>
      <c r="D31" s="270"/>
      <c r="E31" s="64">
        <v>3</v>
      </c>
      <c r="F31" s="313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6"/>
      <c r="L31" s="276"/>
      <c r="M31" s="276"/>
      <c r="N31" s="300"/>
      <c r="O31" s="276"/>
      <c r="P31" s="276"/>
      <c r="Q31" s="276"/>
      <c r="R31" s="302"/>
      <c r="S31" s="304"/>
      <c r="T31" s="293"/>
      <c r="U31" s="19"/>
    </row>
    <row r="32" spans="1:21" ht="14.25" customHeight="1">
      <c r="A32" s="9"/>
      <c r="B32" s="314">
        <f t="shared" ref="B32" si="0">DATE(YEAR(B20),MONTH(B20),DAY(B20)+1)</f>
        <v>45273</v>
      </c>
      <c r="C32" s="315" t="s">
        <v>16</v>
      </c>
      <c r="D32" s="315" t="s">
        <v>40</v>
      </c>
      <c r="E32" s="73">
        <v>1</v>
      </c>
      <c r="F32" s="271" t="str">
        <f>LEFT(總表!$D19,IF(F35=0,LEN(總表!$D19)+3,LEN(總表!$D19)-3))</f>
        <v>巧達濃湯</v>
      </c>
      <c r="G32" s="21" t="str">
        <f>IFERROR(IF(VLOOKUP($E32&amp;+$F$32,依據!$A:$C,3,FALSE)=0,"",VLOOKUP($E32&amp;+$F$32,依據!$A:$C,3,FALSE)),"")</f>
        <v>培根</v>
      </c>
      <c r="H32" s="21">
        <v>3.6</v>
      </c>
      <c r="I32" s="20" t="str">
        <f>IFERROR(IF(VLOOKUP($E32&amp;+$F$32,依據!$A:$E,5,FALSE)=0,"",VLOOKUP($E32&amp;+$F$32,依據!$A:$E,5,FALSE)),"")</f>
        <v>玉米粒</v>
      </c>
      <c r="J32" s="34" t="str">
        <f>IFERROR(IF(VLOOKUP($E32&amp;+$F$32,依據!$A:$F,6,FALSE)=0,"",(VLOOKUP($E32&amp;+$F$32,依據!$A:$F,6,FALSE))),"")</f>
        <v>3罐</v>
      </c>
      <c r="K32" s="274">
        <f>IF($F32="不供餐","",IFERROR(VLOOKUP($F32,依據!$B:L,11,FALSE),0)+IFERROR(VLOOKUP($F35,依據!$B:L,11,FALSE),0))</f>
        <v>0.68444444444444441</v>
      </c>
      <c r="L32" s="277">
        <f>IF($F32="不供餐","",IFERROR(VLOOKUP($F32,依據!$B:M,12,FALSE),0)+IFERROR(VLOOKUP($F35,依據!$B:M,12,FALSE),0))</f>
        <v>0</v>
      </c>
      <c r="M32" s="277">
        <f>IF($F32="不供餐","",IFERROR(VLOOKUP($F32,依據!$B:N,13,FALSE),0)+IFERROR(VLOOKUP($F35,依據!$B:N,13,FALSE),0))</f>
        <v>0</v>
      </c>
      <c r="N32" s="298">
        <f>IF($F32="不供餐","",IFERROR(VLOOKUP($F32,依據!$B:O,14,FALSE),0)+IFERROR(VLOOKUP($F35,依據!$B:O,14,FALSE),0))</f>
        <v>0.18000000000000002</v>
      </c>
      <c r="O32" s="277">
        <f>IF($F32="不供餐","",IFERROR(VLOOKUP($F32,依據!$B:P,15,FALSE),0)+IFERROR(VLOOKUP($F35,依據!$B:P,15,FALSE),0))</f>
        <v>0</v>
      </c>
      <c r="P32" s="277">
        <f>IF($F32="不供餐","",IFERROR(VLOOKUP($F32,依據!$B:Q,16,FALSE),0)+IFERROR(VLOOKUP($F35,依據!$B:Q,16,FALSE),0))</f>
        <v>0.8</v>
      </c>
      <c r="Q32" s="277">
        <f>IF($F32="不供餐","",IFERROR(VLOOKUP($F32,依據!$B:R,17,FALSE),0)+IFERROR(VLOOKUP($F35,依據!$B:R,17,FALSE),0))</f>
        <v>0</v>
      </c>
      <c r="R32" s="301">
        <f>IF($F32="不供餐","",SUM(K32*70+L32*75+M32*120+N32*25+O32*60+P32*45+Q32*4))</f>
        <v>88.411111111111111</v>
      </c>
      <c r="S32" s="303" t="str">
        <f>_xlfn.IFS(COUNTIF($F35,"水果")=1,"水果1種",(COUNTIF($F35,"水果"))=0,"")</f>
        <v/>
      </c>
      <c r="T32" s="291"/>
      <c r="U32" s="19"/>
    </row>
    <row r="33" spans="1:21" ht="14.25" customHeight="1">
      <c r="A33" s="9"/>
      <c r="B33" s="267"/>
      <c r="C33" s="230"/>
      <c r="D33" s="230"/>
      <c r="E33" s="63">
        <v>2</v>
      </c>
      <c r="F33" s="272"/>
      <c r="G33" s="22" t="str">
        <f>IFERROR(IF(VLOOKUP($E33&amp;+$F$32,依據!$A:$C,3,FALSE)=0,"",VLOOKUP($E33&amp;+$F$32,依據!$A:$C,3,FALSE)),"")</f>
        <v>洋蔥</v>
      </c>
      <c r="H33" s="22">
        <v>0.6</v>
      </c>
      <c r="I33" s="23" t="str">
        <f>IFERROR(IF(VLOOKUP($E33&amp;+$F$32,依據!$A:$E,5,FALSE)=0,"",VLOOKUP($E33&amp;+$F$32,依據!$A:$E,5,FALSE)),"")</f>
        <v>紅蘿蔔</v>
      </c>
      <c r="J33" s="36">
        <f>IFERROR(IF(VLOOKUP($E33&amp;+$F$32,依據!$A:$F,6,FALSE)=0,"",(VLOOKUP($E33&amp;+$F$32,依據!$A:$F,6,FALSE))),"")</f>
        <v>0.2</v>
      </c>
      <c r="K33" s="275"/>
      <c r="L33" s="275"/>
      <c r="M33" s="275"/>
      <c r="N33" s="299"/>
      <c r="O33" s="275"/>
      <c r="P33" s="275"/>
      <c r="Q33" s="275"/>
      <c r="R33" s="302"/>
      <c r="S33" s="303"/>
      <c r="T33" s="291"/>
      <c r="U33" s="19"/>
    </row>
    <row r="34" spans="1:21" ht="14.25" customHeight="1">
      <c r="A34" s="9"/>
      <c r="B34" s="267"/>
      <c r="C34" s="230"/>
      <c r="D34" s="230"/>
      <c r="E34" s="63">
        <v>3</v>
      </c>
      <c r="F34" s="273"/>
      <c r="G34" s="24" t="str">
        <f>IFERROR(IF(VLOOKUP($E34&amp;+$F$32,依據!$A:$C,3,FALSE)=0,"",VLOOKUP($E34&amp;+$F$32,依據!$A:$C,3,FALSE)),"")</f>
        <v>馬鈴薯</v>
      </c>
      <c r="H34" s="24">
        <f>IFERROR(IF(VLOOKUP($E34&amp;+$F$32,依據!$A:$D,4,FALSE)=0,"",(VLOOKUP($E34&amp;+$F$32,依據!$A:$D,4,FALSE))),"")</f>
        <v>2</v>
      </c>
      <c r="I34" s="25" t="str">
        <f>IFERROR(IF(VLOOKUP($E34&amp;+$F$32,依據!$A:$E,5,FALSE)=0,"",VLOOKUP($E34&amp;+$F$32,依據!$A:$E,5,FALSE)),"")</f>
        <v>低筋麵粉</v>
      </c>
      <c r="J34" s="37">
        <f>IFERROR(IF(VLOOKUP($E34&amp;+$F$32,依據!$A:$F,6,FALSE)=0,"",(VLOOKUP($E34&amp;+$F$32,依據!$A:$F,6,FALSE))),"")</f>
        <v>0.6</v>
      </c>
      <c r="K34" s="275"/>
      <c r="L34" s="275"/>
      <c r="M34" s="275"/>
      <c r="N34" s="299"/>
      <c r="O34" s="275"/>
      <c r="P34" s="275"/>
      <c r="Q34" s="275"/>
      <c r="R34" s="302"/>
      <c r="S34" s="303"/>
      <c r="T34" s="291"/>
      <c r="U34" s="19"/>
    </row>
    <row r="35" spans="1:21" ht="14.25" customHeight="1">
      <c r="A35" s="9"/>
      <c r="B35" s="267"/>
      <c r="C35" s="230"/>
      <c r="D35" s="230"/>
      <c r="E35" s="63">
        <v>1</v>
      </c>
      <c r="F35" s="316">
        <f>IFERROR(IF(FIND("+水果",總表!$D19)&gt;0,"水果",""),0)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5"/>
      <c r="L35" s="275"/>
      <c r="M35" s="275"/>
      <c r="N35" s="299"/>
      <c r="O35" s="275"/>
      <c r="P35" s="275"/>
      <c r="Q35" s="275"/>
      <c r="R35" s="302"/>
      <c r="S35" s="303"/>
      <c r="T35" s="291"/>
      <c r="U35" s="19"/>
    </row>
    <row r="36" spans="1:21" ht="14.25" customHeight="1">
      <c r="A36" s="9"/>
      <c r="B36" s="267"/>
      <c r="C36" s="230"/>
      <c r="D36" s="230"/>
      <c r="E36" s="63">
        <v>2</v>
      </c>
      <c r="F36" s="306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5"/>
      <c r="L36" s="275"/>
      <c r="M36" s="275"/>
      <c r="N36" s="299"/>
      <c r="O36" s="275"/>
      <c r="P36" s="275"/>
      <c r="Q36" s="275"/>
      <c r="R36" s="302"/>
      <c r="S36" s="303"/>
      <c r="T36" s="291"/>
      <c r="U36" s="19"/>
    </row>
    <row r="37" spans="1:21" ht="14.25" customHeight="1">
      <c r="A37" s="9"/>
      <c r="B37" s="267"/>
      <c r="C37" s="230"/>
      <c r="D37" s="270"/>
      <c r="E37" s="64">
        <v>3</v>
      </c>
      <c r="F37" s="307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6"/>
      <c r="L37" s="276"/>
      <c r="M37" s="276"/>
      <c r="N37" s="300"/>
      <c r="O37" s="276"/>
      <c r="P37" s="276"/>
      <c r="Q37" s="276"/>
      <c r="R37" s="302"/>
      <c r="S37" s="304"/>
      <c r="T37" s="293"/>
      <c r="U37" s="19"/>
    </row>
    <row r="38" spans="1:21" ht="14.25" customHeight="1">
      <c r="A38" s="9"/>
      <c r="B38" s="267"/>
      <c r="C38" s="230"/>
      <c r="D38" s="230" t="s">
        <v>41</v>
      </c>
      <c r="E38" s="73">
        <v>1</v>
      </c>
      <c r="F38" s="339" t="str">
        <f>IFERROR(LEFT(總表!$E19,FIND("+",總表!$E19)-1),總表!$E19)</f>
        <v>菜包</v>
      </c>
      <c r="G38" s="21" t="str">
        <f>IFERROR(IF(VLOOKUP($E38&amp;+$F$38,依據!$A:$C,3,FALSE)=0,"",VLOOKUP($E38&amp;+$F$38,依據!$A:$C,3,FALSE)),"")</f>
        <v>菜包</v>
      </c>
      <c r="H38" s="21" t="s">
        <v>1250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74">
        <v>1.2</v>
      </c>
      <c r="L38" s="277">
        <v>0.3</v>
      </c>
      <c r="M38" s="277">
        <v>0</v>
      </c>
      <c r="N38" s="298">
        <v>0</v>
      </c>
      <c r="O38" s="277">
        <v>0</v>
      </c>
      <c r="P38" s="277">
        <v>0</v>
      </c>
      <c r="Q38" s="277">
        <v>0</v>
      </c>
      <c r="R38" s="301">
        <f>IF($F38="不供餐","",SUM(K38*70+L38*75+M38*120+N38*25+O38*60+P38*45+Q38*4))</f>
        <v>106.5</v>
      </c>
      <c r="S38" s="303"/>
      <c r="T38" s="291"/>
      <c r="U38" s="19"/>
    </row>
    <row r="39" spans="1:21" ht="14.25" customHeight="1">
      <c r="A39" s="9"/>
      <c r="B39" s="267"/>
      <c r="C39" s="230"/>
      <c r="D39" s="230"/>
      <c r="E39" s="63">
        <v>2</v>
      </c>
      <c r="F39" s="333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5"/>
      <c r="L39" s="275"/>
      <c r="M39" s="275"/>
      <c r="N39" s="299"/>
      <c r="O39" s="275"/>
      <c r="P39" s="275"/>
      <c r="Q39" s="275"/>
      <c r="R39" s="302"/>
      <c r="S39" s="303"/>
      <c r="T39" s="291"/>
      <c r="U39" s="19"/>
    </row>
    <row r="40" spans="1:21" ht="14.25" customHeight="1">
      <c r="A40" s="9"/>
      <c r="B40" s="267"/>
      <c r="C40" s="230"/>
      <c r="D40" s="230"/>
      <c r="E40" s="63">
        <v>3</v>
      </c>
      <c r="F40" s="334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5"/>
      <c r="L40" s="275"/>
      <c r="M40" s="275"/>
      <c r="N40" s="299"/>
      <c r="O40" s="275"/>
      <c r="P40" s="275"/>
      <c r="Q40" s="275"/>
      <c r="R40" s="302"/>
      <c r="S40" s="303"/>
      <c r="T40" s="291"/>
      <c r="U40" s="19"/>
    </row>
    <row r="41" spans="1:21" ht="14.25" customHeight="1">
      <c r="A41" s="9"/>
      <c r="B41" s="267"/>
      <c r="C41" s="230"/>
      <c r="D41" s="230"/>
      <c r="E41" s="63">
        <v>1</v>
      </c>
      <c r="F41" s="340" t="str">
        <f>IFERROR(IF(FIND("+",總表!$E19)&gt;0,RIGHT(總表!$E19,LEN(總表!$E19)-FIND("+",總表!$E19)),""),0)</f>
        <v>豆漿</v>
      </c>
      <c r="G41" s="21" t="str">
        <f>IFERROR(IF(VLOOKUP($E41&amp;+$F$41,依據!$A:$C,3,FALSE)=0,"",VLOOKUP($E41&amp;+$F$41,依據!$A:$C,3,FALSE)),"")</f>
        <v>豆漿</v>
      </c>
      <c r="H41" s="21" t="str">
        <f>IFERROR(IF(VLOOKUP($E41&amp;+$F$41,依據!$A:$D,4,FALSE)=0,"",(VLOOKUP($E41&amp;+$F$41,依據!$A:$D,4,FALSE))),"")</f>
        <v>2L*2 1L*3</v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5"/>
      <c r="L41" s="275"/>
      <c r="M41" s="275"/>
      <c r="N41" s="299"/>
      <c r="O41" s="275"/>
      <c r="P41" s="275"/>
      <c r="Q41" s="275"/>
      <c r="R41" s="302"/>
      <c r="S41" s="303"/>
      <c r="T41" s="291"/>
      <c r="U41" s="19"/>
    </row>
    <row r="42" spans="1:21" ht="14.25" customHeight="1">
      <c r="A42" s="9"/>
      <c r="B42" s="267"/>
      <c r="C42" s="230"/>
      <c r="D42" s="230"/>
      <c r="E42" s="63">
        <v>2</v>
      </c>
      <c r="F42" s="337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5"/>
      <c r="L42" s="275"/>
      <c r="M42" s="275"/>
      <c r="N42" s="299"/>
      <c r="O42" s="275"/>
      <c r="P42" s="275"/>
      <c r="Q42" s="275"/>
      <c r="R42" s="302"/>
      <c r="S42" s="303"/>
      <c r="T42" s="291"/>
      <c r="U42" s="19"/>
    </row>
    <row r="43" spans="1:21" ht="14.25" customHeight="1">
      <c r="A43" s="9"/>
      <c r="B43" s="268"/>
      <c r="C43" s="270"/>
      <c r="D43" s="270"/>
      <c r="E43" s="64">
        <v>3</v>
      </c>
      <c r="F43" s="338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6"/>
      <c r="L43" s="276"/>
      <c r="M43" s="276"/>
      <c r="N43" s="300"/>
      <c r="O43" s="276"/>
      <c r="P43" s="276"/>
      <c r="Q43" s="276"/>
      <c r="R43" s="302"/>
      <c r="S43" s="304"/>
      <c r="T43" s="293"/>
      <c r="U43" s="19"/>
    </row>
    <row r="44" spans="1:21" ht="14.25" customHeight="1">
      <c r="A44" s="9"/>
      <c r="B44" s="314">
        <f t="shared" ref="B44" si="1">DATE(YEAR(B32),MONTH(B32),DAY(B32)+1)</f>
        <v>45274</v>
      </c>
      <c r="C44" s="315" t="s">
        <v>17</v>
      </c>
      <c r="D44" s="315" t="s">
        <v>40</v>
      </c>
      <c r="E44" s="73">
        <v>1</v>
      </c>
      <c r="F44" s="271" t="str">
        <f>LEFT(總表!$D20,IF(F47=0,LEN(總表!$D20)+3,LEN(總表!$D20)-3))</f>
        <v>雞茸糙米粥</v>
      </c>
      <c r="G44" s="21" t="s">
        <v>1260</v>
      </c>
      <c r="H44" s="21" t="s">
        <v>1261</v>
      </c>
      <c r="I44" s="20" t="str">
        <f>IFERROR(IF(VLOOKUP($E44&amp;+$F$44,依據!$A:$E,5,FALSE)=0,"",VLOOKUP($E44&amp;+$F$44,依據!$A:$E,5,FALSE)),"")</f>
        <v>芹菜</v>
      </c>
      <c r="J44" s="34">
        <f>IFERROR(IF(VLOOKUP($E44&amp;+$F$44,依據!$A:$F,6,FALSE)=0,"",(VLOOKUP($E44&amp;+$F$44,依據!$A:$F,6,FALSE))),"")</f>
        <v>0.2</v>
      </c>
      <c r="K44" s="274">
        <f>IF($F44="不供餐","",IFERROR(VLOOKUP($F44,依據!$B:L,11,FALSE),0)+IFERROR(VLOOKUP($F47,依據!$B:L,11,FALSE),0))</f>
        <v>1.1200000000000001</v>
      </c>
      <c r="L44" s="277">
        <f>IF($F44="不供餐","",IFERROR(VLOOKUP($F44,依據!$B:M,12,FALSE),0)+IFERROR(VLOOKUP($F47,依據!$B:M,12,FALSE),0))</f>
        <v>0.4</v>
      </c>
      <c r="M44" s="277">
        <f>IF($F44="不供餐","",IFERROR(VLOOKUP($F44,依據!$B:N,13,FALSE),0)+IFERROR(VLOOKUP($F47,依據!$B:N,13,FALSE),0))</f>
        <v>0</v>
      </c>
      <c r="N44" s="298">
        <f>IF($F44="不供餐","",IFERROR(VLOOKUP($F44,依據!$B:O,14,FALSE),0)+IFERROR(VLOOKUP($F47,依據!$B:O,14,FALSE),0))</f>
        <v>0.04</v>
      </c>
      <c r="O44" s="277">
        <f>IF($F44="不供餐","",IFERROR(VLOOKUP($F44,依據!$B:P,15,FALSE),0)+IFERROR(VLOOKUP($F47,依據!$B:P,15,FALSE),0))</f>
        <v>1.04</v>
      </c>
      <c r="P44" s="277">
        <f>IF($F44="不供餐","",IFERROR(VLOOKUP($F44,依據!$B:Q,16,FALSE),0)+IFERROR(VLOOKUP($F47,依據!$B:Q,16,FALSE),0))</f>
        <v>0</v>
      </c>
      <c r="Q44" s="277">
        <f>IF($F44="不供餐","",IFERROR(VLOOKUP($F44,依據!$B:R,17,FALSE),0)+IFERROR(VLOOKUP($F47,依據!$B:R,17,FALSE),0))</f>
        <v>0</v>
      </c>
      <c r="R44" s="301">
        <f>IF($F44="不供餐","",SUM(K44*70+L44*75+M44*120+N44*25+O44*60+P44*45+Q44*4))</f>
        <v>171.8</v>
      </c>
      <c r="S44" s="303" t="str">
        <f>_xlfn.IFS(COUNTIF($F47,"水果")=1,"水果1種",(COUNTIF($F47,"水果"))=0,"")</f>
        <v>水果1種</v>
      </c>
      <c r="T44" s="291"/>
      <c r="U44" s="19"/>
    </row>
    <row r="45" spans="1:21" ht="14.25" customHeight="1">
      <c r="A45" s="9"/>
      <c r="B45" s="267"/>
      <c r="C45" s="230"/>
      <c r="D45" s="230"/>
      <c r="E45" s="63">
        <v>2</v>
      </c>
      <c r="F45" s="272"/>
      <c r="G45" s="22" t="str">
        <f>IFERROR(IF(VLOOKUP($E45&amp;+$F$44,依據!$A:$C,3,FALSE)=0,"",VLOOKUP($E45&amp;+$F$44,依據!$A:$C,3,FALSE)),"")</f>
        <v>雞絞肉</v>
      </c>
      <c r="H45" s="22">
        <f>IFERROR(IF(VLOOKUP($E45&amp;+$F$44,依據!$A:$D,4,FALSE)=0,"",(VLOOKUP($E45&amp;+$F$44,依據!$A:$D,4,FALSE))),"")</f>
        <v>0.6</v>
      </c>
      <c r="I45" s="23" t="str">
        <f>IFERROR(IF(VLOOKUP($E45&amp;+$F$44,依據!$A:$E,5,FALSE)=0,"",VLOOKUP($E45&amp;+$F$44,依據!$A:$E,5,FALSE)),"")</f>
        <v>白米</v>
      </c>
      <c r="J45" s="36">
        <f>IFERROR(IF(VLOOKUP($E45&amp;+$F$44,依據!$A:$F,6,FALSE)=0,"",(VLOOKUP($E45&amp;+$F$44,依據!$A:$F,6,FALSE))),"")</f>
        <v>0.8</v>
      </c>
      <c r="K45" s="275"/>
      <c r="L45" s="275"/>
      <c r="M45" s="275"/>
      <c r="N45" s="299"/>
      <c r="O45" s="275"/>
      <c r="P45" s="275"/>
      <c r="Q45" s="275"/>
      <c r="R45" s="302"/>
      <c r="S45" s="303"/>
      <c r="T45" s="291"/>
      <c r="U45" s="19"/>
    </row>
    <row r="46" spans="1:21" ht="14.25" customHeight="1">
      <c r="A46" s="9"/>
      <c r="B46" s="267"/>
      <c r="C46" s="230"/>
      <c r="D46" s="230"/>
      <c r="E46" s="63">
        <v>3</v>
      </c>
      <c r="F46" s="273"/>
      <c r="G46" s="24" t="str">
        <f>IFERROR(IF(VLOOKUP($E46&amp;+$F$44,依據!$A:$C,3,FALSE)=0,"",VLOOKUP($E46&amp;+$F$44,依據!$A:$C,3,FALSE)),"")</f>
        <v>玉米粒</v>
      </c>
      <c r="H46" s="24" t="str">
        <f>IFERROR(IF(VLOOKUP($E46&amp;+$F$44,依據!$A:$D,4,FALSE)=0,"",(VLOOKUP($E46&amp;+$F$44,依據!$A:$D,4,FALSE))),"")</f>
        <v>4罐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5"/>
      <c r="L46" s="275"/>
      <c r="M46" s="275"/>
      <c r="N46" s="299"/>
      <c r="O46" s="275"/>
      <c r="P46" s="275"/>
      <c r="Q46" s="275"/>
      <c r="R46" s="302"/>
      <c r="S46" s="303"/>
      <c r="T46" s="291"/>
      <c r="U46" s="19"/>
    </row>
    <row r="47" spans="1:21" ht="14.25" customHeight="1">
      <c r="A47" s="9"/>
      <c r="B47" s="267"/>
      <c r="C47" s="230"/>
      <c r="D47" s="230"/>
      <c r="E47" s="63">
        <v>1</v>
      </c>
      <c r="F47" s="316" t="str">
        <f>IFERROR(IF(FIND("+水果",總表!$D20)&gt;0,"水果",""),0)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1249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5"/>
      <c r="L47" s="275"/>
      <c r="M47" s="275"/>
      <c r="N47" s="299"/>
      <c r="O47" s="275"/>
      <c r="P47" s="275"/>
      <c r="Q47" s="275"/>
      <c r="R47" s="302"/>
      <c r="S47" s="303"/>
      <c r="T47" s="291"/>
      <c r="U47" s="19"/>
    </row>
    <row r="48" spans="1:21" ht="14.25" customHeight="1">
      <c r="A48" s="9"/>
      <c r="B48" s="267"/>
      <c r="C48" s="230"/>
      <c r="D48" s="230"/>
      <c r="E48" s="63">
        <v>2</v>
      </c>
      <c r="F48" s="306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5"/>
      <c r="L48" s="275"/>
      <c r="M48" s="275"/>
      <c r="N48" s="299"/>
      <c r="O48" s="275"/>
      <c r="P48" s="275"/>
      <c r="Q48" s="275"/>
      <c r="R48" s="302"/>
      <c r="S48" s="303"/>
      <c r="T48" s="291"/>
      <c r="U48" s="19"/>
    </row>
    <row r="49" spans="1:21" ht="14.25" customHeight="1">
      <c r="A49" s="9"/>
      <c r="B49" s="267"/>
      <c r="C49" s="230"/>
      <c r="D49" s="270"/>
      <c r="E49" s="64">
        <v>3</v>
      </c>
      <c r="F49" s="307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6"/>
      <c r="L49" s="276"/>
      <c r="M49" s="276"/>
      <c r="N49" s="300"/>
      <c r="O49" s="276"/>
      <c r="P49" s="276"/>
      <c r="Q49" s="276"/>
      <c r="R49" s="302"/>
      <c r="S49" s="304"/>
      <c r="T49" s="293"/>
      <c r="U49" s="19"/>
    </row>
    <row r="50" spans="1:21" ht="14.25" customHeight="1">
      <c r="A50" s="9"/>
      <c r="B50" s="267"/>
      <c r="C50" s="230"/>
      <c r="D50" s="230" t="s">
        <v>41</v>
      </c>
      <c r="E50" s="73">
        <v>1</v>
      </c>
      <c r="F50" s="332" t="s">
        <v>1234</v>
      </c>
      <c r="G50" s="21" t="str">
        <f>IFERROR(IF(VLOOKUP($E50&amp;+$F$50,依據!$A:$C,3,FALSE)=0,"",VLOOKUP($E50&amp;+$F$50,依據!$A:$C,3,FALSE)),"")</f>
        <v>全麥吐司</v>
      </c>
      <c r="H50" s="21" t="s">
        <v>1251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74">
        <f>IF($F50="不供餐","",IFERROR(VLOOKUP($F50,依據!$B:L,11,FALSE),0)+IFERROR(VLOOKUP($F53,依據!$B:L,11,FALSE),0))</f>
        <v>2.08</v>
      </c>
      <c r="L50" s="277">
        <f>IF($F50="不供餐","",IFERROR(VLOOKUP($F50,依據!$B:M,12,FALSE),0)+IFERROR(VLOOKUP($F53,依據!$B:M,12,FALSE),0))</f>
        <v>0</v>
      </c>
      <c r="M50" s="277">
        <f>IF($F50="不供餐","",IFERROR(VLOOKUP($F50,依據!$B:N,13,FALSE),0)+IFERROR(VLOOKUP($F53,依據!$B:N,13,FALSE),0))</f>
        <v>0</v>
      </c>
      <c r="N50" s="298">
        <f>IF($F50="不供餐","",IFERROR(VLOOKUP($F50,依據!$B:O,14,FALSE),0)+IFERROR(VLOOKUP($F53,依據!$B:O,14,FALSE),0))</f>
        <v>0</v>
      </c>
      <c r="O50" s="277">
        <f>IF($F50="不供餐","",IFERROR(VLOOKUP($F50,依據!$B:P,15,FALSE),0)+IFERROR(VLOOKUP($F53,依據!$B:P,15,FALSE),0))</f>
        <v>0</v>
      </c>
      <c r="P50" s="277">
        <f>IF($F50="不供餐","",IFERROR(VLOOKUP($F50,依據!$B:Q,16,FALSE),0)+IFERROR(VLOOKUP($F53,依據!$B:Q,16,FALSE),0))</f>
        <v>0</v>
      </c>
      <c r="Q50" s="277">
        <f>IF($F50="不供餐","",IFERROR(VLOOKUP($F50,依據!$B:R,17,FALSE),0)+IFERROR(VLOOKUP($F53,依據!$B:R,17,FALSE),0))</f>
        <v>0</v>
      </c>
      <c r="R50" s="301">
        <f>IF($F50="不供餐","",SUM(K50*70+L50*75+M50*120+N50*25+O50*60+P50*45+Q50*4))</f>
        <v>145.6</v>
      </c>
      <c r="S50" s="303" t="str">
        <f>_xlfn.IFS(COUNTIF($F50,"水果拼盤")=1,"水果3種",(COUNTIF($F50,"水果拼盤"))=0,"")</f>
        <v/>
      </c>
      <c r="T50" s="291"/>
      <c r="U50" s="19"/>
    </row>
    <row r="51" spans="1:21" ht="14.25" customHeight="1">
      <c r="A51" s="9"/>
      <c r="B51" s="267"/>
      <c r="C51" s="230"/>
      <c r="D51" s="230"/>
      <c r="E51" s="63">
        <v>2</v>
      </c>
      <c r="F51" s="333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5"/>
      <c r="L51" s="275"/>
      <c r="M51" s="275"/>
      <c r="N51" s="299"/>
      <c r="O51" s="275"/>
      <c r="P51" s="275"/>
      <c r="Q51" s="275"/>
      <c r="R51" s="302"/>
      <c r="S51" s="303"/>
      <c r="T51" s="291"/>
      <c r="U51" s="19"/>
    </row>
    <row r="52" spans="1:21" ht="14.25" customHeight="1">
      <c r="A52" s="9"/>
      <c r="B52" s="267"/>
      <c r="C52" s="230"/>
      <c r="D52" s="230"/>
      <c r="E52" s="63">
        <v>3</v>
      </c>
      <c r="F52" s="334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5"/>
      <c r="L52" s="275"/>
      <c r="M52" s="275"/>
      <c r="N52" s="299"/>
      <c r="O52" s="275"/>
      <c r="P52" s="275"/>
      <c r="Q52" s="275"/>
      <c r="R52" s="302"/>
      <c r="S52" s="303"/>
      <c r="T52" s="291"/>
      <c r="U52" s="19"/>
    </row>
    <row r="53" spans="1:21" ht="14.25" customHeight="1">
      <c r="A53" s="9"/>
      <c r="B53" s="267"/>
      <c r="C53" s="230"/>
      <c r="D53" s="230"/>
      <c r="E53" s="63">
        <v>1</v>
      </c>
      <c r="F53" s="336" t="s">
        <v>1265</v>
      </c>
      <c r="G53" s="21" t="s">
        <v>417</v>
      </c>
      <c r="H53" s="21">
        <v>0.1</v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5"/>
      <c r="L53" s="275"/>
      <c r="M53" s="275"/>
      <c r="N53" s="299"/>
      <c r="O53" s="275"/>
      <c r="P53" s="275"/>
      <c r="Q53" s="275"/>
      <c r="R53" s="302"/>
      <c r="S53" s="303"/>
      <c r="T53" s="291"/>
      <c r="U53" s="19"/>
    </row>
    <row r="54" spans="1:21" ht="14.25" customHeight="1">
      <c r="A54" s="9"/>
      <c r="B54" s="267"/>
      <c r="C54" s="230"/>
      <c r="D54" s="230"/>
      <c r="E54" s="63">
        <v>2</v>
      </c>
      <c r="F54" s="337"/>
      <c r="G54" s="22" t="s">
        <v>276</v>
      </c>
      <c r="H54" s="22">
        <v>0.1</v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5"/>
      <c r="L54" s="275"/>
      <c r="M54" s="275"/>
      <c r="N54" s="299"/>
      <c r="O54" s="275"/>
      <c r="P54" s="275"/>
      <c r="Q54" s="275"/>
      <c r="R54" s="302"/>
      <c r="S54" s="303"/>
      <c r="T54" s="291"/>
      <c r="U54" s="19"/>
    </row>
    <row r="55" spans="1:21" ht="14.25" customHeight="1">
      <c r="A55" s="9"/>
      <c r="B55" s="268"/>
      <c r="C55" s="270"/>
      <c r="D55" s="270"/>
      <c r="E55" s="64">
        <v>3</v>
      </c>
      <c r="F55" s="338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6"/>
      <c r="L55" s="276"/>
      <c r="M55" s="276"/>
      <c r="N55" s="300"/>
      <c r="O55" s="276"/>
      <c r="P55" s="276"/>
      <c r="Q55" s="276"/>
      <c r="R55" s="302"/>
      <c r="S55" s="304"/>
      <c r="T55" s="293"/>
      <c r="U55" s="19"/>
    </row>
    <row r="56" spans="1:21" ht="14.25" customHeight="1">
      <c r="A56" s="9"/>
      <c r="B56" s="314">
        <f t="shared" ref="B56" si="2">DATE(YEAR(B44),MONTH(B44),DAY(B44)+1)</f>
        <v>45275</v>
      </c>
      <c r="C56" s="282" t="s">
        <v>18</v>
      </c>
      <c r="D56" s="315" t="s">
        <v>40</v>
      </c>
      <c r="E56" s="73">
        <v>1</v>
      </c>
      <c r="F56" s="308" t="str">
        <f>IFERROR(LEFT(總表!$D21,FIND("+",總表!$D21)-1),總表!$D21)</f>
        <v>青菜豆腐湯</v>
      </c>
      <c r="G56" s="60" t="str">
        <f>IFERROR(IF(VLOOKUP($E56&amp;+$F$56,依據!$A:$C,3,FALSE)=0,"",VLOOKUP($E56&amp;+$F$56,依據!$A:$C,3,FALSE)),"")</f>
        <v>板豆腐</v>
      </c>
      <c r="H56" s="60">
        <f>IFERROR(IF(VLOOKUP($E56&amp;+$F$56,依據!$A:$D,4,FALSE)=0,"",(VLOOKUP($E56&amp;+$F$56,依據!$A:$D,4,FALSE))),"")</f>
        <v>1.2</v>
      </c>
      <c r="I56" s="75" t="str">
        <f>IFERROR(IF(VLOOKUP($E56&amp;+$F$56,依據!$A:$E,5,FALSE)=0,"",VLOOKUP($E56&amp;+$F$56,依據!$A:$E,5,FALSE)),"")</f>
        <v/>
      </c>
      <c r="J56" s="59" t="str">
        <f>IFERROR(IF(VLOOKUP($E56&amp;+$F$56,依據!$A:$F,6,FALSE)=0,"",(VLOOKUP($E56&amp;+$F$56,依據!$A:$F,6,FALSE))),"")</f>
        <v/>
      </c>
      <c r="K56" s="274">
        <f>IF($F56="不供餐","",IFERROR(VLOOKUP($F56,依據!$B:L,11,FALSE),0)+IFERROR(VLOOKUP($F59,依據!$B:L,11,FALSE),0))</f>
        <v>0</v>
      </c>
      <c r="L56" s="277">
        <f>IF($F56="不供餐","",IFERROR(VLOOKUP($F56,依據!$B:M,12,FALSE),0)+IFERROR(VLOOKUP($F59,依據!$B:M,12,FALSE),0))</f>
        <v>0.3</v>
      </c>
      <c r="M56" s="277">
        <f>IF($F56="不供餐","",IFERROR(VLOOKUP($F56,依據!$B:N,13,FALSE),0)+IFERROR(VLOOKUP($F59,依據!$B:N,13,FALSE),0))</f>
        <v>0</v>
      </c>
      <c r="N56" s="298">
        <f>IF($F56="不供餐","",IFERROR(VLOOKUP($F56,依據!$B:O,14,FALSE),0)+IFERROR(VLOOKUP($F59,依據!$B:O,14,FALSE),0))</f>
        <v>0.21000000000000002</v>
      </c>
      <c r="O56" s="277">
        <f>IF($F56="不供餐","",IFERROR(VLOOKUP($F56,依據!$B:P,15,FALSE),0)+IFERROR(VLOOKUP($F59,依據!$B:P,15,FALSE),0))</f>
        <v>1.04</v>
      </c>
      <c r="P56" s="277">
        <f>IF($F56="不供餐","",IFERROR(VLOOKUP($F56,依據!$B:Q,16,FALSE),0)+IFERROR(VLOOKUP($F59,依據!$B:Q,16,FALSE),0))</f>
        <v>0</v>
      </c>
      <c r="Q56" s="277">
        <f>IF($F56="不供餐","",IFERROR(VLOOKUP($F56,依據!$B:R,17,FALSE),0)+IFERROR(VLOOKUP($F59,依據!$B:R,17,FALSE),0))</f>
        <v>0</v>
      </c>
      <c r="R56" s="301">
        <f>IF($F56="不供餐","",SUM(K56*70+L56*75+M56*120+N56*25+O56*60+P56*45+Q56*4))</f>
        <v>90.15</v>
      </c>
      <c r="S56" s="303" t="str">
        <f>_xlfn.IFS(COUNTIF($F56,"水果拼盤")=1,"水果3種",(COUNTIF($F56,"水果拼盤"))=0,"")</f>
        <v/>
      </c>
      <c r="T56" s="291"/>
      <c r="U56" s="19"/>
    </row>
    <row r="57" spans="1:21" ht="14.25" customHeight="1">
      <c r="A57" s="9"/>
      <c r="B57" s="267"/>
      <c r="C57" s="283"/>
      <c r="D57" s="230"/>
      <c r="E57" s="63">
        <v>2</v>
      </c>
      <c r="F57" s="309"/>
      <c r="G57" s="22" t="str">
        <f>IFERROR(IF(VLOOKUP($E57&amp;+$F$56,依據!$A:$C,3,FALSE)=0,"",VLOOKUP($E57&amp;+$F$56,依據!$A:$C,3,FALSE)),"")</f>
        <v>小白菜</v>
      </c>
      <c r="H57" s="22">
        <f>IFERROR(IF(VLOOKUP($E57&amp;+$F$56,依據!$A:$D,4,FALSE)=0,"",(VLOOKUP($E57&amp;+$F$56,依據!$A:$D,4,FALSE))),"")</f>
        <v>0.8</v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5"/>
      <c r="L57" s="275"/>
      <c r="M57" s="275"/>
      <c r="N57" s="299"/>
      <c r="O57" s="275"/>
      <c r="P57" s="275"/>
      <c r="Q57" s="275"/>
      <c r="R57" s="302"/>
      <c r="S57" s="303"/>
      <c r="T57" s="291"/>
      <c r="U57" s="19"/>
    </row>
    <row r="58" spans="1:21" ht="14.25" customHeight="1">
      <c r="A58" s="9"/>
      <c r="B58" s="267"/>
      <c r="C58" s="283"/>
      <c r="D58" s="230"/>
      <c r="E58" s="63">
        <v>3</v>
      </c>
      <c r="F58" s="310"/>
      <c r="G58" s="24" t="str">
        <f>IFERROR(IF(VLOOKUP($E58&amp;+$F$56,依據!$A:$C,3,FALSE)=0,"",VLOOKUP($E58&amp;+$F$56,依據!$A:$C,3,FALSE)),"")</f>
        <v>紅蘿蔔</v>
      </c>
      <c r="H58" s="24" t="str">
        <f>IFERROR(IF(VLOOKUP($E58&amp;+$F$56,依據!$A:$D,4,FALSE)=0,"",(VLOOKUP($E58&amp;+$F$56,依據!$A:$D,4,FALSE))),"")</f>
        <v>1根</v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5"/>
      <c r="L58" s="275"/>
      <c r="M58" s="275"/>
      <c r="N58" s="299"/>
      <c r="O58" s="275"/>
      <c r="P58" s="275"/>
      <c r="Q58" s="275"/>
      <c r="R58" s="302"/>
      <c r="S58" s="303"/>
      <c r="T58" s="291"/>
      <c r="U58" s="19"/>
    </row>
    <row r="59" spans="1:21" ht="14.25" customHeight="1">
      <c r="A59" s="9"/>
      <c r="B59" s="267"/>
      <c r="C59" s="283"/>
      <c r="D59" s="230"/>
      <c r="E59" s="63">
        <v>1</v>
      </c>
      <c r="F59" s="311" t="str">
        <f>IFERROR(IF(FIND("+",總表!$D27)&gt;0,RIGHT(總表!$D27,LEN(總表!$D27)-FIND("+",總表!$D27)),""),0)</f>
        <v>水果</v>
      </c>
      <c r="G59" s="60" t="str">
        <f>IFERROR(IF(VLOOKUP($E59&amp;+$F$59,依據!$A:$C,3,FALSE)=0,"",VLOOKUP($E59&amp;+$F$59,依據!$A:$C,3,FALSE)),"")</f>
        <v>水果</v>
      </c>
      <c r="H59" s="60" t="str">
        <f>IFERROR(IF(VLOOKUP($E59&amp;+$F$59,依據!$A:$D,4,FALSE)=0,"",(VLOOKUP($E59&amp;+$F$59,依據!$A:$D,4,FALSE))),"")</f>
        <v>52份</v>
      </c>
      <c r="I59" s="75" t="str">
        <f>IFERROR(IF(VLOOKUP($E59&amp;+$F$59,依據!$A:$E,5,FALSE)=0,"",VLOOKUP($E59&amp;+$F$59,依據!$A:$E,5,FALSE)),"")</f>
        <v/>
      </c>
      <c r="J59" s="59" t="str">
        <f>IFERROR(IF(VLOOKUP($E59&amp;+$F$59,依據!$A:$F,6,FALSE)=0,"",(VLOOKUP($E59&amp;+$F$59,依據!$A:$F,6,FALSE))),"")</f>
        <v/>
      </c>
      <c r="K59" s="275"/>
      <c r="L59" s="275"/>
      <c r="M59" s="275"/>
      <c r="N59" s="299"/>
      <c r="O59" s="275"/>
      <c r="P59" s="275"/>
      <c r="Q59" s="275"/>
      <c r="R59" s="302"/>
      <c r="S59" s="303"/>
      <c r="T59" s="291"/>
      <c r="U59" s="19"/>
    </row>
    <row r="60" spans="1:21" ht="14.25" customHeight="1">
      <c r="A60" s="9"/>
      <c r="B60" s="267"/>
      <c r="C60" s="283"/>
      <c r="D60" s="230"/>
      <c r="E60" s="63">
        <v>2</v>
      </c>
      <c r="F60" s="312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5"/>
      <c r="L60" s="275"/>
      <c r="M60" s="275"/>
      <c r="N60" s="299"/>
      <c r="O60" s="275"/>
      <c r="P60" s="275"/>
      <c r="Q60" s="275"/>
      <c r="R60" s="302"/>
      <c r="S60" s="303"/>
      <c r="T60" s="291"/>
      <c r="U60" s="19"/>
    </row>
    <row r="61" spans="1:21" ht="14.25" customHeight="1">
      <c r="A61" s="9"/>
      <c r="B61" s="267"/>
      <c r="C61" s="283"/>
      <c r="D61" s="270"/>
      <c r="E61" s="64">
        <v>3</v>
      </c>
      <c r="F61" s="313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6"/>
      <c r="L61" s="276"/>
      <c r="M61" s="276"/>
      <c r="N61" s="300"/>
      <c r="O61" s="276"/>
      <c r="P61" s="276"/>
      <c r="Q61" s="276"/>
      <c r="R61" s="302"/>
      <c r="S61" s="304"/>
      <c r="T61" s="293"/>
      <c r="U61" s="19"/>
    </row>
    <row r="62" spans="1:21" ht="14.25" customHeight="1">
      <c r="A62" s="9"/>
      <c r="B62" s="267"/>
      <c r="C62" s="283"/>
      <c r="D62" s="230" t="s">
        <v>41</v>
      </c>
      <c r="E62" s="73">
        <v>1</v>
      </c>
      <c r="F62" s="332" t="str">
        <f>IFERROR(LEFT(總表!$E21,FIND("+",總表!$E21)-1),總表!$E21)</f>
        <v>珍珠丸</v>
      </c>
      <c r="G62" s="60" t="str">
        <f>IFERROR(IF(VLOOKUP($E62&amp;+$F$62,依據!$A:$C,3,FALSE)=0,"",VLOOKUP($E62&amp;+$F$62,依據!$A:$C,3,FALSE)),"")</f>
        <v>珍珠丸</v>
      </c>
      <c r="H62" s="60" t="str">
        <f>IFERROR(IF(VLOOKUP($E62&amp;+$F$62,依據!$A:$D,4,FALSE)=0,"",(VLOOKUP($E62&amp;+$F$62,依據!$A:$D,4,FALSE))),"")</f>
        <v>104個</v>
      </c>
      <c r="I62" s="75"/>
      <c r="J62" s="59" t="str">
        <f>IFERROR(IF(VLOOKUP($E62&amp;+$F$62,依據!$A:$F,6,FALSE)=0,"",(VLOOKUP($E62&amp;+$F$62,依據!$A:$F,6,FALSE))),"")</f>
        <v/>
      </c>
      <c r="K62" s="274">
        <f>IF($F62="不供餐","",IFERROR(VLOOKUP($F62,依據!$B:L,11,FALSE),0)+IFERROR(VLOOKUP($F65,依據!$B:L,11,FALSE),0))</f>
        <v>0.83200000000000007</v>
      </c>
      <c r="L62" s="277">
        <f>IF($F62="不供餐","",IFERROR(VLOOKUP($F62,依據!$B:M,12,FALSE),0)+IFERROR(VLOOKUP($F65,依據!$B:M,12,FALSE),0))</f>
        <v>0.624</v>
      </c>
      <c r="M62" s="277">
        <f>IF($F62="不供餐","",IFERROR(VLOOKUP($F62,依據!$B:N,13,FALSE),0)+IFERROR(VLOOKUP($F65,依據!$B:N,13,FALSE),0))</f>
        <v>0</v>
      </c>
      <c r="N62" s="298">
        <f>IF($F62="不供餐","",IFERROR(VLOOKUP($F62,依據!$B:O,14,FALSE),0)+IFERROR(VLOOKUP($F65,依據!$B:O,14,FALSE),0))</f>
        <v>0</v>
      </c>
      <c r="O62" s="277">
        <f>IF($F62="不供餐","",IFERROR(VLOOKUP($F62,依據!$B:P,15,FALSE),0)+IFERROR(VLOOKUP($F65,依據!$B:P,15,FALSE),0))</f>
        <v>0</v>
      </c>
      <c r="P62" s="277">
        <f>IF($F62="不供餐","",IFERROR(VLOOKUP($F62,依據!$B:Q,16,FALSE),0)+IFERROR(VLOOKUP($F65,依據!$B:Q,16,FALSE),0))</f>
        <v>0</v>
      </c>
      <c r="Q62" s="277">
        <f>IF($F62="不供餐","",IFERROR(VLOOKUP($F62,依據!$B:R,17,FALSE),0)+IFERROR(VLOOKUP($F65,依據!$B:R,17,FALSE),0))</f>
        <v>0</v>
      </c>
      <c r="R62" s="301">
        <f>IF($F62="不供餐","",SUM(K62*70+L62*75+M62*120+N62*25+O62*60+P62*45+Q62*4))</f>
        <v>105.03999999999999</v>
      </c>
      <c r="S62" s="303" t="str">
        <f>_xlfn.IFS(COUNTIF($F62,"水果拼盤")=1,"水果3種",(COUNTIF($F62,"水果拼盤"))=0,"")</f>
        <v/>
      </c>
      <c r="T62" s="291"/>
      <c r="U62" s="19"/>
    </row>
    <row r="63" spans="1:21" ht="14.25" customHeight="1">
      <c r="A63" s="9"/>
      <c r="B63" s="267"/>
      <c r="C63" s="283"/>
      <c r="D63" s="230"/>
      <c r="E63" s="63">
        <v>2</v>
      </c>
      <c r="F63" s="333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5"/>
      <c r="L63" s="275"/>
      <c r="M63" s="275"/>
      <c r="N63" s="299"/>
      <c r="O63" s="275"/>
      <c r="P63" s="275"/>
      <c r="Q63" s="275"/>
      <c r="R63" s="302"/>
      <c r="S63" s="303"/>
      <c r="T63" s="291"/>
      <c r="U63" s="19"/>
    </row>
    <row r="64" spans="1:21" ht="14.25" customHeight="1">
      <c r="A64" s="9"/>
      <c r="B64" s="267"/>
      <c r="C64" s="283"/>
      <c r="D64" s="230"/>
      <c r="E64" s="63">
        <v>3</v>
      </c>
      <c r="F64" s="334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5"/>
      <c r="L64" s="275"/>
      <c r="M64" s="275"/>
      <c r="N64" s="299"/>
      <c r="O64" s="275"/>
      <c r="P64" s="275"/>
      <c r="Q64" s="275"/>
      <c r="R64" s="302"/>
      <c r="S64" s="303"/>
      <c r="T64" s="291"/>
      <c r="U64" s="19"/>
    </row>
    <row r="65" spans="1:21" ht="14.25" customHeight="1">
      <c r="A65" s="9"/>
      <c r="B65" s="267"/>
      <c r="C65" s="283"/>
      <c r="D65" s="230"/>
      <c r="E65" s="63">
        <v>1</v>
      </c>
      <c r="F65" s="336" t="str">
        <f>IFERROR(IF(FIND("+",總表!$E21)&gt;0,RIGHT(總表!$E21,LEN(總表!$E21)-FIND("+",總表!$E21)),""),0)</f>
        <v>黑豆茶</v>
      </c>
      <c r="G65" s="60" t="str">
        <f>IFERROR(IF(VLOOKUP($E65&amp;+$F$65,依據!$A:$C,3,FALSE)=0,"",VLOOKUP($E65&amp;+$F$65,依據!$A:$C,3,FALSE)),"")</f>
        <v>黑豆茶包</v>
      </c>
      <c r="H65" s="60" t="str">
        <f>IFERROR(IF(VLOOKUP($E65&amp;+$F$65,依據!$A:$D,4,FALSE)=0,"",(VLOOKUP($E65&amp;+$F$65,依據!$A:$D,4,FALSE))),"")</f>
        <v>1包</v>
      </c>
      <c r="I65" s="75" t="str">
        <f>IFERROR(IF(VLOOKUP($E65&amp;+$F$65,依據!$A:$E,5,FALSE)=0,"",VLOOKUP($E65&amp;+$F$65,依據!$A:$E,5,FALSE)),"")</f>
        <v/>
      </c>
      <c r="J65" s="59" t="str">
        <f>IFERROR(IF(VLOOKUP($E65&amp;+$F$65,依據!$A:$F,6,FALSE)=0,"",(VLOOKUP($E65&amp;+$F$65,依據!$A:$F,6,FALSE))),"")</f>
        <v/>
      </c>
      <c r="K65" s="275"/>
      <c r="L65" s="275"/>
      <c r="M65" s="275"/>
      <c r="N65" s="299"/>
      <c r="O65" s="275"/>
      <c r="P65" s="275"/>
      <c r="Q65" s="275"/>
      <c r="R65" s="302"/>
      <c r="S65" s="303"/>
      <c r="T65" s="291"/>
      <c r="U65" s="19"/>
    </row>
    <row r="66" spans="1:21" ht="14.25" customHeight="1">
      <c r="A66" s="9"/>
      <c r="B66" s="267"/>
      <c r="C66" s="283"/>
      <c r="D66" s="230"/>
      <c r="E66" s="63">
        <v>2</v>
      </c>
      <c r="F66" s="337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5"/>
      <c r="L66" s="275"/>
      <c r="M66" s="275"/>
      <c r="N66" s="299"/>
      <c r="O66" s="275"/>
      <c r="P66" s="275"/>
      <c r="Q66" s="275"/>
      <c r="R66" s="302"/>
      <c r="S66" s="303"/>
      <c r="T66" s="291"/>
      <c r="U66" s="19"/>
    </row>
    <row r="67" spans="1:21" ht="14.25" customHeight="1">
      <c r="A67" s="9"/>
      <c r="B67" s="268"/>
      <c r="C67" s="284"/>
      <c r="D67" s="270"/>
      <c r="E67" s="64">
        <v>3</v>
      </c>
      <c r="F67" s="338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6"/>
      <c r="L67" s="276"/>
      <c r="M67" s="276"/>
      <c r="N67" s="300"/>
      <c r="O67" s="276"/>
      <c r="P67" s="276"/>
      <c r="Q67" s="276"/>
      <c r="R67" s="302"/>
      <c r="S67" s="304"/>
      <c r="T67" s="293"/>
      <c r="U67" s="19"/>
    </row>
    <row r="68" spans="1:21" ht="14.25" hidden="1" customHeight="1">
      <c r="A68" s="9"/>
      <c r="B68" s="314">
        <f t="shared" ref="B68" si="3">DATE(YEAR(B56),MONTH(B56),DAY(B56)+1)</f>
        <v>45276</v>
      </c>
      <c r="C68" s="282" t="s">
        <v>103</v>
      </c>
      <c r="D68" s="315" t="s">
        <v>40</v>
      </c>
      <c r="E68" s="73">
        <v>1</v>
      </c>
      <c r="F68" s="271" t="str">
        <f>LEFT(總表!$D22,IF(F71=0,LEN(總表!$D22)+3,LEN(總表!$D22)-3))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74">
        <f>IF($F68="不供餐","",IFERROR(VLOOKUP($F68,依據!$B:L,11,FALSE),0)+IFERROR(VLOOKUP($F71,依據!$B:L,11,FALSE),0))</f>
        <v>0</v>
      </c>
      <c r="L68" s="277">
        <f>IF($F68="不供餐","",IFERROR(VLOOKUP($F68,依據!$B:M,12,FALSE),0)+IFERROR(VLOOKUP($F71,依據!$B:M,12,FALSE),0))</f>
        <v>0</v>
      </c>
      <c r="M68" s="277">
        <f>IF($F68="不供餐","",IFERROR(VLOOKUP($F68,依據!$B:N,13,FALSE),0)+IFERROR(VLOOKUP($F71,依據!$B:N,13,FALSE),0))</f>
        <v>0</v>
      </c>
      <c r="N68" s="298">
        <f>IF($F68="不供餐","",IFERROR(VLOOKUP($F68,依據!$B:O,14,FALSE),0)+IFERROR(VLOOKUP($F71,依據!$B:O,14,FALSE),0))</f>
        <v>0</v>
      </c>
      <c r="O68" s="277">
        <f>IF($F68="不供餐","",IFERROR(VLOOKUP($F68,依據!$B:P,15,FALSE),0)+IFERROR(VLOOKUP($F71,依據!$B:P,15,FALSE),0))</f>
        <v>0</v>
      </c>
      <c r="P68" s="277">
        <f>IF($F68="不供餐","",IFERROR(VLOOKUP($F68,依據!$B:Q,16,FALSE),0)+IFERROR(VLOOKUP($F71,依據!$B:Q,16,FALSE),0))</f>
        <v>0</v>
      </c>
      <c r="Q68" s="277">
        <f>IF($F68="不供餐","",IFERROR(VLOOKUP($F68,依據!$B:R,17,FALSE),0)+IFERROR(VLOOKUP($F71,依據!$B:R,17,FALSE),0))</f>
        <v>0</v>
      </c>
      <c r="R68" s="301">
        <f>IF($F68="不供餐","",SUM(K68*70+L68*75+M68*120+N68*25+O68*60+P68*45+Q68*4))</f>
        <v>0</v>
      </c>
      <c r="S68" s="303" t="str">
        <f>_xlfn.IFS(COUNTIF($F71,"水果")=1,"水果1種",(COUNTIF($F71,"水果"))=0,"")</f>
        <v/>
      </c>
      <c r="T68" s="291"/>
      <c r="U68" s="19"/>
    </row>
    <row r="69" spans="1:21" ht="14.25" hidden="1" customHeight="1">
      <c r="A69" s="9"/>
      <c r="B69" s="267"/>
      <c r="C69" s="283"/>
      <c r="D69" s="230"/>
      <c r="E69" s="63">
        <v>2</v>
      </c>
      <c r="F69" s="272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5"/>
      <c r="L69" s="275"/>
      <c r="M69" s="275"/>
      <c r="N69" s="299"/>
      <c r="O69" s="275"/>
      <c r="P69" s="275"/>
      <c r="Q69" s="275"/>
      <c r="R69" s="302"/>
      <c r="S69" s="303"/>
      <c r="T69" s="291"/>
      <c r="U69" s="19"/>
    </row>
    <row r="70" spans="1:21" ht="14.25" hidden="1" customHeight="1">
      <c r="A70" s="9"/>
      <c r="B70" s="267"/>
      <c r="C70" s="283"/>
      <c r="D70" s="230"/>
      <c r="E70" s="63">
        <v>3</v>
      </c>
      <c r="F70" s="273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5"/>
      <c r="L70" s="275"/>
      <c r="M70" s="275"/>
      <c r="N70" s="299"/>
      <c r="O70" s="275"/>
      <c r="P70" s="275"/>
      <c r="Q70" s="275"/>
      <c r="R70" s="302"/>
      <c r="S70" s="303"/>
      <c r="T70" s="291"/>
      <c r="U70" s="19"/>
    </row>
    <row r="71" spans="1:21" ht="14.25" hidden="1" customHeight="1">
      <c r="A71" s="9"/>
      <c r="B71" s="267"/>
      <c r="C71" s="283"/>
      <c r="D71" s="230"/>
      <c r="E71" s="63">
        <v>1</v>
      </c>
      <c r="F71" s="316">
        <f>IFERROR(IF(FIND("+水果",總表!$D22)&gt;0,"水果",""),0)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5"/>
      <c r="L71" s="275"/>
      <c r="M71" s="275"/>
      <c r="N71" s="299"/>
      <c r="O71" s="275"/>
      <c r="P71" s="275"/>
      <c r="Q71" s="275"/>
      <c r="R71" s="302"/>
      <c r="S71" s="303"/>
      <c r="T71" s="291"/>
      <c r="U71" s="19"/>
    </row>
    <row r="72" spans="1:21" ht="14.25" hidden="1" customHeight="1">
      <c r="A72" s="9"/>
      <c r="B72" s="267"/>
      <c r="C72" s="283"/>
      <c r="D72" s="230"/>
      <c r="E72" s="63">
        <v>2</v>
      </c>
      <c r="F72" s="306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5"/>
      <c r="L72" s="275"/>
      <c r="M72" s="275"/>
      <c r="N72" s="299"/>
      <c r="O72" s="275"/>
      <c r="P72" s="275"/>
      <c r="Q72" s="275"/>
      <c r="R72" s="302"/>
      <c r="S72" s="303"/>
      <c r="T72" s="291"/>
      <c r="U72" s="19"/>
    </row>
    <row r="73" spans="1:21" ht="14.25" hidden="1" customHeight="1">
      <c r="A73" s="9"/>
      <c r="B73" s="267"/>
      <c r="C73" s="283"/>
      <c r="D73" s="270"/>
      <c r="E73" s="64">
        <v>3</v>
      </c>
      <c r="F73" s="307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6"/>
      <c r="L73" s="276"/>
      <c r="M73" s="276"/>
      <c r="N73" s="300"/>
      <c r="O73" s="276"/>
      <c r="P73" s="276"/>
      <c r="Q73" s="276"/>
      <c r="R73" s="302"/>
      <c r="S73" s="304"/>
      <c r="T73" s="293"/>
      <c r="U73" s="19"/>
    </row>
    <row r="74" spans="1:21" ht="14.25" hidden="1" customHeight="1">
      <c r="A74" s="9"/>
      <c r="B74" s="267"/>
      <c r="C74" s="283"/>
      <c r="D74" s="230" t="s">
        <v>41</v>
      </c>
      <c r="E74" s="73">
        <v>1</v>
      </c>
      <c r="F74" s="308">
        <f>IFERROR(LEFT(總表!$E22,FIND("+",總表!$E22)-1),總表!$E22)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74">
        <f>IF($F74="不供餐","",IFERROR(VLOOKUP($F74,依據!$B:L,11,FALSE),0)+IFERROR(VLOOKUP($F77,依據!$B:L,11,FALSE),0))</f>
        <v>0</v>
      </c>
      <c r="L74" s="277">
        <f>IF($F74="不供餐","",IFERROR(VLOOKUP($F74,依據!$B:M,12,FALSE),0)+IFERROR(VLOOKUP($F77,依據!$B:M,12,FALSE),0))</f>
        <v>0</v>
      </c>
      <c r="M74" s="277">
        <f>IF($F74="不供餐","",IFERROR(VLOOKUP($F74,依據!$B:N,13,FALSE),0)+IFERROR(VLOOKUP($F77,依據!$B:N,13,FALSE),0))</f>
        <v>0</v>
      </c>
      <c r="N74" s="298">
        <f>IF($F74="不供餐","",IFERROR(VLOOKUP($F74,依據!$B:O,14,FALSE),0)+IFERROR(VLOOKUP($F77,依據!$B:O,14,FALSE),0))</f>
        <v>0</v>
      </c>
      <c r="O74" s="277">
        <f>IF($F74="不供餐","",IFERROR(VLOOKUP($F74,依據!$B:P,15,FALSE),0)+IFERROR(VLOOKUP($F77,依據!$B:P,15,FALSE),0))</f>
        <v>0</v>
      </c>
      <c r="P74" s="277">
        <f>IF($F74="不供餐","",IFERROR(VLOOKUP($F74,依據!$B:Q,16,FALSE),0)+IFERROR(VLOOKUP($F77,依據!$B:Q,16,FALSE),0))</f>
        <v>0</v>
      </c>
      <c r="Q74" s="277">
        <f>IF($F74="不供餐","",IFERROR(VLOOKUP($F74,依據!$B:R,17,FALSE),0)+IFERROR(VLOOKUP($F77,依據!$B:R,17,FALSE),0))</f>
        <v>0</v>
      </c>
      <c r="R74" s="301">
        <f>IF($F74="不供餐","",SUM(K74*70+L74*75+M74*120+N74*25+O74*60+P74*45+Q74*4))</f>
        <v>0</v>
      </c>
      <c r="S74" s="303" t="str">
        <f>_xlfn.IFS(COUNTIF($F74,"水果拼盤")=1,"水果3種",(COUNTIF($F74,"水果拼盤"))=0,"")</f>
        <v/>
      </c>
      <c r="T74" s="291"/>
      <c r="U74" s="19"/>
    </row>
    <row r="75" spans="1:21" ht="14.25" hidden="1" customHeight="1">
      <c r="A75" s="9"/>
      <c r="B75" s="267"/>
      <c r="C75" s="283"/>
      <c r="D75" s="230"/>
      <c r="E75" s="63">
        <v>2</v>
      </c>
      <c r="F75" s="309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5"/>
      <c r="L75" s="275"/>
      <c r="M75" s="275"/>
      <c r="N75" s="299"/>
      <c r="O75" s="275"/>
      <c r="P75" s="275"/>
      <c r="Q75" s="275"/>
      <c r="R75" s="302"/>
      <c r="S75" s="303"/>
      <c r="T75" s="291"/>
      <c r="U75" s="19"/>
    </row>
    <row r="76" spans="1:21" ht="14.25" hidden="1" customHeight="1">
      <c r="A76" s="9"/>
      <c r="B76" s="267"/>
      <c r="C76" s="283"/>
      <c r="D76" s="230"/>
      <c r="E76" s="63">
        <v>3</v>
      </c>
      <c r="F76" s="310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5"/>
      <c r="L76" s="275"/>
      <c r="M76" s="275"/>
      <c r="N76" s="299"/>
      <c r="O76" s="275"/>
      <c r="P76" s="275"/>
      <c r="Q76" s="275"/>
      <c r="R76" s="302"/>
      <c r="S76" s="303"/>
      <c r="T76" s="291"/>
      <c r="U76" s="19"/>
    </row>
    <row r="77" spans="1:21" ht="14.25" hidden="1" customHeight="1">
      <c r="A77" s="9"/>
      <c r="B77" s="267"/>
      <c r="C77" s="283"/>
      <c r="D77" s="230"/>
      <c r="E77" s="63">
        <v>1</v>
      </c>
      <c r="F77" s="311">
        <f>IFERROR(IF(FIND("+",總表!$E22)&gt;0,RIGHT(總表!$E22,LEN(總表!$E22)-FIND("+",總表!$E22)),""),0)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5"/>
      <c r="L77" s="275"/>
      <c r="M77" s="275"/>
      <c r="N77" s="299"/>
      <c r="O77" s="275"/>
      <c r="P77" s="275"/>
      <c r="Q77" s="275"/>
      <c r="R77" s="302"/>
      <c r="S77" s="303"/>
      <c r="T77" s="291"/>
      <c r="U77" s="19"/>
    </row>
    <row r="78" spans="1:21" ht="14.25" hidden="1" customHeight="1">
      <c r="A78" s="9"/>
      <c r="B78" s="267"/>
      <c r="C78" s="283"/>
      <c r="D78" s="230"/>
      <c r="E78" s="63">
        <v>2</v>
      </c>
      <c r="F78" s="312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5"/>
      <c r="L78" s="275"/>
      <c r="M78" s="275"/>
      <c r="N78" s="299"/>
      <c r="O78" s="275"/>
      <c r="P78" s="275"/>
      <c r="Q78" s="275"/>
      <c r="R78" s="302"/>
      <c r="S78" s="303"/>
      <c r="T78" s="291"/>
      <c r="U78" s="19"/>
    </row>
    <row r="79" spans="1:21" ht="14.25" hidden="1" customHeight="1">
      <c r="A79" s="9"/>
      <c r="B79" s="268"/>
      <c r="C79" s="284"/>
      <c r="D79" s="270"/>
      <c r="E79" s="64">
        <v>3</v>
      </c>
      <c r="F79" s="313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6"/>
      <c r="L79" s="276"/>
      <c r="M79" s="276"/>
      <c r="N79" s="300"/>
      <c r="O79" s="276"/>
      <c r="P79" s="276"/>
      <c r="Q79" s="276"/>
      <c r="R79" s="302"/>
      <c r="S79" s="304"/>
      <c r="T79" s="293"/>
      <c r="U79" s="19"/>
    </row>
    <row r="80" spans="1:21" ht="14.25" customHeight="1">
      <c r="A80" s="9"/>
      <c r="B80" s="320" t="s">
        <v>42</v>
      </c>
      <c r="C80" s="321"/>
      <c r="D80" s="321"/>
      <c r="E80" s="322"/>
      <c r="F80" s="323"/>
      <c r="G80" s="320" t="s">
        <v>43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3"/>
      <c r="U80" s="19"/>
    </row>
    <row r="81" spans="1:35" ht="14.25" customHeight="1">
      <c r="A81" s="9"/>
      <c r="B81" s="324"/>
      <c r="C81" s="325"/>
      <c r="D81" s="325"/>
      <c r="E81" s="325"/>
      <c r="F81" s="326"/>
      <c r="G81" s="324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19"/>
    </row>
    <row r="82" spans="1:35" ht="14.25" customHeight="1">
      <c r="A82" s="9"/>
      <c r="B82" s="324"/>
      <c r="C82" s="325"/>
      <c r="D82" s="325"/>
      <c r="E82" s="325"/>
      <c r="F82" s="326"/>
      <c r="G82" s="324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  <c r="U82" s="19"/>
    </row>
    <row r="83" spans="1:35" ht="14.25" customHeight="1">
      <c r="A83" s="9"/>
      <c r="B83" s="327"/>
      <c r="C83" s="280"/>
      <c r="D83" s="280"/>
      <c r="E83" s="280"/>
      <c r="F83" s="328"/>
      <c r="G83" s="327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328"/>
      <c r="U83" s="19"/>
    </row>
    <row r="84" spans="1:35" ht="21" customHeight="1">
      <c r="A84" s="9"/>
      <c r="B84" s="319" t="s">
        <v>14</v>
      </c>
      <c r="C84" s="319"/>
      <c r="D84" s="319"/>
      <c r="E84" s="319"/>
      <c r="F84" s="319"/>
      <c r="G84" s="319"/>
      <c r="H84" s="319"/>
      <c r="I84" s="319" t="s">
        <v>44</v>
      </c>
      <c r="J84" s="319"/>
      <c r="K84" s="319"/>
      <c r="L84" s="319"/>
      <c r="M84" s="319"/>
      <c r="N84" s="319"/>
      <c r="O84" s="319" t="s">
        <v>1269</v>
      </c>
      <c r="P84" s="319"/>
      <c r="Q84" s="319"/>
      <c r="R84" s="319"/>
      <c r="S84" s="319"/>
      <c r="T84" s="319"/>
      <c r="U84" s="1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B85" s="17"/>
    </row>
  </sheetData>
  <sheetProtection formatCells="0" selectLockedCells="1" selectUnlockedCells="1"/>
  <mergeCells count="184"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R14:R19"/>
    <mergeCell ref="O14:O19"/>
    <mergeCell ref="P14:P19"/>
    <mergeCell ref="F11:F13"/>
    <mergeCell ref="D14:D19"/>
    <mergeCell ref="F14:F16"/>
    <mergeCell ref="F17:F19"/>
    <mergeCell ref="S26:T31"/>
    <mergeCell ref="F29:F31"/>
    <mergeCell ref="N8:N13"/>
    <mergeCell ref="O8:O13"/>
    <mergeCell ref="P8:P13"/>
    <mergeCell ref="Q8:Q13"/>
    <mergeCell ref="R8:R13"/>
    <mergeCell ref="S8:T13"/>
    <mergeCell ref="Q14:Q19"/>
    <mergeCell ref="K14:K19"/>
    <mergeCell ref="L14:L19"/>
    <mergeCell ref="S14:T19"/>
    <mergeCell ref="M14:M19"/>
    <mergeCell ref="N14:N19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32:B43"/>
    <mergeCell ref="C32:C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84:H84"/>
    <mergeCell ref="I84:N84"/>
    <mergeCell ref="O84:T84"/>
    <mergeCell ref="R62:R67"/>
    <mergeCell ref="S62:T67"/>
    <mergeCell ref="F65:F67"/>
    <mergeCell ref="B80:F83"/>
    <mergeCell ref="G80:T8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38:K43"/>
    <mergeCell ref="L38:L43"/>
    <mergeCell ref="M38:M43"/>
    <mergeCell ref="N38:N43"/>
    <mergeCell ref="O38:O43"/>
    <mergeCell ref="P38:P43"/>
    <mergeCell ref="Q38:Q43"/>
    <mergeCell ref="R38:R43"/>
    <mergeCell ref="N62:N67"/>
    <mergeCell ref="O62:O67"/>
    <mergeCell ref="P62:P67"/>
    <mergeCell ref="Q62:Q67"/>
    <mergeCell ref="K62:K67"/>
    <mergeCell ref="L62:L67"/>
    <mergeCell ref="M62:M67"/>
    <mergeCell ref="O56:O61"/>
    <mergeCell ref="P56:P61"/>
    <mergeCell ref="Q56:Q61"/>
    <mergeCell ref="R56:R61"/>
    <mergeCell ref="M56:M61"/>
    <mergeCell ref="N56:N6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6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84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68" sqref="H68"/>
    </sheetView>
  </sheetViews>
  <sheetFormatPr defaultColWidth="9" defaultRowHeight="16.5"/>
  <cols>
    <col min="1" max="1" width="14.875" style="9" customWidth="1"/>
    <col min="2" max="4" width="3.625" style="9" customWidth="1"/>
    <col min="5" max="5" width="3.625" style="13" hidden="1" customWidth="1"/>
    <col min="6" max="7" width="12.625" style="9" customWidth="1"/>
    <col min="8" max="8" width="6" style="9" customWidth="1"/>
    <col min="9" max="9" width="12.625" style="9" customWidth="1"/>
    <col min="10" max="10" width="6" style="9" customWidth="1"/>
    <col min="11" max="18" width="4.5" style="13" customWidth="1"/>
    <col min="19" max="20" width="3.875" style="9" customWidth="1"/>
    <col min="21" max="21" width="2.5" style="9" customWidth="1"/>
    <col min="22" max="22" width="12.375" customWidth="1"/>
    <col min="23" max="23" width="9.125" bestFit="1" customWidth="1"/>
    <col min="24" max="24" width="4.5" style="9" bestFit="1" customWidth="1"/>
    <col min="25" max="26" width="5.625" style="9" customWidth="1"/>
    <col min="27" max="27" width="9" style="9" customWidth="1"/>
    <col min="28" max="28" width="5.625" style="9" customWidth="1"/>
    <col min="29" max="29" width="9" style="9" customWidth="1"/>
    <col min="30" max="31" width="5.625" style="9" customWidth="1"/>
    <col min="32" max="32" width="9" style="9" customWidth="1"/>
    <col min="33" max="33" width="5.625" style="9" customWidth="1"/>
    <col min="34" max="34" width="9" style="9" customWidth="1"/>
    <col min="35" max="35" width="11.625" style="9" bestFit="1" customWidth="1"/>
    <col min="36" max="253" width="9" style="9"/>
    <col min="254" max="254" width="14.875" style="9" customWidth="1"/>
    <col min="255" max="257" width="3.625" style="9" customWidth="1"/>
    <col min="258" max="259" width="12.625" style="9" customWidth="1"/>
    <col min="260" max="260" width="6" style="9" customWidth="1"/>
    <col min="261" max="261" width="12.625" style="9" customWidth="1"/>
    <col min="262" max="262" width="6" style="9" customWidth="1"/>
    <col min="263" max="272" width="3.875" style="9" customWidth="1"/>
    <col min="273" max="273" width="2.5" style="9" customWidth="1"/>
    <col min="274" max="274" width="12.375" style="9" customWidth="1"/>
    <col min="275" max="275" width="9.125" style="9" bestFit="1" customWidth="1"/>
    <col min="276" max="277" width="9" style="9"/>
    <col min="278" max="278" width="4.5" style="9" bestFit="1" customWidth="1"/>
    <col min="279" max="279" width="9" style="9"/>
    <col min="280" max="280" width="4.5" style="9" bestFit="1" customWidth="1"/>
    <col min="281" max="282" width="5.625" style="9" customWidth="1"/>
    <col min="283" max="283" width="9" style="9"/>
    <col min="284" max="284" width="5.625" style="9" customWidth="1"/>
    <col min="285" max="285" width="9" style="9"/>
    <col min="286" max="287" width="5.625" style="9" customWidth="1"/>
    <col min="288" max="288" width="9" style="9"/>
    <col min="289" max="289" width="5.625" style="9" customWidth="1"/>
    <col min="290" max="290" width="9" style="9"/>
    <col min="291" max="291" width="11.625" style="9" bestFit="1" customWidth="1"/>
    <col min="292" max="509" width="9" style="9"/>
    <col min="510" max="510" width="14.875" style="9" customWidth="1"/>
    <col min="511" max="513" width="3.625" style="9" customWidth="1"/>
    <col min="514" max="515" width="12.625" style="9" customWidth="1"/>
    <col min="516" max="516" width="6" style="9" customWidth="1"/>
    <col min="517" max="517" width="12.625" style="9" customWidth="1"/>
    <col min="518" max="518" width="6" style="9" customWidth="1"/>
    <col min="519" max="528" width="3.875" style="9" customWidth="1"/>
    <col min="529" max="529" width="2.5" style="9" customWidth="1"/>
    <col min="530" max="530" width="12.375" style="9" customWidth="1"/>
    <col min="531" max="531" width="9.125" style="9" bestFit="1" customWidth="1"/>
    <col min="532" max="533" width="9" style="9"/>
    <col min="534" max="534" width="4.5" style="9" bestFit="1" customWidth="1"/>
    <col min="535" max="535" width="9" style="9"/>
    <col min="536" max="536" width="4.5" style="9" bestFit="1" customWidth="1"/>
    <col min="537" max="538" width="5.625" style="9" customWidth="1"/>
    <col min="539" max="539" width="9" style="9"/>
    <col min="540" max="540" width="5.625" style="9" customWidth="1"/>
    <col min="541" max="541" width="9" style="9"/>
    <col min="542" max="543" width="5.625" style="9" customWidth="1"/>
    <col min="544" max="544" width="9" style="9"/>
    <col min="545" max="545" width="5.625" style="9" customWidth="1"/>
    <col min="546" max="546" width="9" style="9"/>
    <col min="547" max="547" width="11.625" style="9" bestFit="1" customWidth="1"/>
    <col min="548" max="765" width="9" style="9"/>
    <col min="766" max="766" width="14.875" style="9" customWidth="1"/>
    <col min="767" max="769" width="3.625" style="9" customWidth="1"/>
    <col min="770" max="771" width="12.625" style="9" customWidth="1"/>
    <col min="772" max="772" width="6" style="9" customWidth="1"/>
    <col min="773" max="773" width="12.625" style="9" customWidth="1"/>
    <col min="774" max="774" width="6" style="9" customWidth="1"/>
    <col min="775" max="784" width="3.875" style="9" customWidth="1"/>
    <col min="785" max="785" width="2.5" style="9" customWidth="1"/>
    <col min="786" max="786" width="12.375" style="9" customWidth="1"/>
    <col min="787" max="787" width="9.125" style="9" bestFit="1" customWidth="1"/>
    <col min="788" max="789" width="9" style="9"/>
    <col min="790" max="790" width="4.5" style="9" bestFit="1" customWidth="1"/>
    <col min="791" max="791" width="9" style="9"/>
    <col min="792" max="792" width="4.5" style="9" bestFit="1" customWidth="1"/>
    <col min="793" max="794" width="5.625" style="9" customWidth="1"/>
    <col min="795" max="795" width="9" style="9"/>
    <col min="796" max="796" width="5.625" style="9" customWidth="1"/>
    <col min="797" max="797" width="9" style="9"/>
    <col min="798" max="799" width="5.625" style="9" customWidth="1"/>
    <col min="800" max="800" width="9" style="9"/>
    <col min="801" max="801" width="5.625" style="9" customWidth="1"/>
    <col min="802" max="802" width="9" style="9"/>
    <col min="803" max="803" width="11.625" style="9" bestFit="1" customWidth="1"/>
    <col min="804" max="1021" width="9" style="9"/>
    <col min="1022" max="1022" width="14.875" style="9" customWidth="1"/>
    <col min="1023" max="1025" width="3.625" style="9" customWidth="1"/>
    <col min="1026" max="1027" width="12.625" style="9" customWidth="1"/>
    <col min="1028" max="1028" width="6" style="9" customWidth="1"/>
    <col min="1029" max="1029" width="12.625" style="9" customWidth="1"/>
    <col min="1030" max="1030" width="6" style="9" customWidth="1"/>
    <col min="1031" max="1040" width="3.875" style="9" customWidth="1"/>
    <col min="1041" max="1041" width="2.5" style="9" customWidth="1"/>
    <col min="1042" max="1042" width="12.375" style="9" customWidth="1"/>
    <col min="1043" max="1043" width="9.125" style="9" bestFit="1" customWidth="1"/>
    <col min="1044" max="1045" width="9" style="9"/>
    <col min="1046" max="1046" width="4.5" style="9" bestFit="1" customWidth="1"/>
    <col min="1047" max="1047" width="9" style="9"/>
    <col min="1048" max="1048" width="4.5" style="9" bestFit="1" customWidth="1"/>
    <col min="1049" max="1050" width="5.625" style="9" customWidth="1"/>
    <col min="1051" max="1051" width="9" style="9"/>
    <col min="1052" max="1052" width="5.625" style="9" customWidth="1"/>
    <col min="1053" max="1053" width="9" style="9"/>
    <col min="1054" max="1055" width="5.625" style="9" customWidth="1"/>
    <col min="1056" max="1056" width="9" style="9"/>
    <col min="1057" max="1057" width="5.625" style="9" customWidth="1"/>
    <col min="1058" max="1058" width="9" style="9"/>
    <col min="1059" max="1059" width="11.625" style="9" bestFit="1" customWidth="1"/>
    <col min="1060" max="1277" width="9" style="9"/>
    <col min="1278" max="1278" width="14.875" style="9" customWidth="1"/>
    <col min="1279" max="1281" width="3.625" style="9" customWidth="1"/>
    <col min="1282" max="1283" width="12.625" style="9" customWidth="1"/>
    <col min="1284" max="1284" width="6" style="9" customWidth="1"/>
    <col min="1285" max="1285" width="12.625" style="9" customWidth="1"/>
    <col min="1286" max="1286" width="6" style="9" customWidth="1"/>
    <col min="1287" max="1296" width="3.875" style="9" customWidth="1"/>
    <col min="1297" max="1297" width="2.5" style="9" customWidth="1"/>
    <col min="1298" max="1298" width="12.375" style="9" customWidth="1"/>
    <col min="1299" max="1299" width="9.125" style="9" bestFit="1" customWidth="1"/>
    <col min="1300" max="1301" width="9" style="9"/>
    <col min="1302" max="1302" width="4.5" style="9" bestFit="1" customWidth="1"/>
    <col min="1303" max="1303" width="9" style="9"/>
    <col min="1304" max="1304" width="4.5" style="9" bestFit="1" customWidth="1"/>
    <col min="1305" max="1306" width="5.625" style="9" customWidth="1"/>
    <col min="1307" max="1307" width="9" style="9"/>
    <col min="1308" max="1308" width="5.625" style="9" customWidth="1"/>
    <col min="1309" max="1309" width="9" style="9"/>
    <col min="1310" max="1311" width="5.625" style="9" customWidth="1"/>
    <col min="1312" max="1312" width="9" style="9"/>
    <col min="1313" max="1313" width="5.625" style="9" customWidth="1"/>
    <col min="1314" max="1314" width="9" style="9"/>
    <col min="1315" max="1315" width="11.625" style="9" bestFit="1" customWidth="1"/>
    <col min="1316" max="1533" width="9" style="9"/>
    <col min="1534" max="1534" width="14.875" style="9" customWidth="1"/>
    <col min="1535" max="1537" width="3.625" style="9" customWidth="1"/>
    <col min="1538" max="1539" width="12.625" style="9" customWidth="1"/>
    <col min="1540" max="1540" width="6" style="9" customWidth="1"/>
    <col min="1541" max="1541" width="12.625" style="9" customWidth="1"/>
    <col min="1542" max="1542" width="6" style="9" customWidth="1"/>
    <col min="1543" max="1552" width="3.875" style="9" customWidth="1"/>
    <col min="1553" max="1553" width="2.5" style="9" customWidth="1"/>
    <col min="1554" max="1554" width="12.375" style="9" customWidth="1"/>
    <col min="1555" max="1555" width="9.125" style="9" bestFit="1" customWidth="1"/>
    <col min="1556" max="1557" width="9" style="9"/>
    <col min="1558" max="1558" width="4.5" style="9" bestFit="1" customWidth="1"/>
    <col min="1559" max="1559" width="9" style="9"/>
    <col min="1560" max="1560" width="4.5" style="9" bestFit="1" customWidth="1"/>
    <col min="1561" max="1562" width="5.625" style="9" customWidth="1"/>
    <col min="1563" max="1563" width="9" style="9"/>
    <col min="1564" max="1564" width="5.625" style="9" customWidth="1"/>
    <col min="1565" max="1565" width="9" style="9"/>
    <col min="1566" max="1567" width="5.625" style="9" customWidth="1"/>
    <col min="1568" max="1568" width="9" style="9"/>
    <col min="1569" max="1569" width="5.625" style="9" customWidth="1"/>
    <col min="1570" max="1570" width="9" style="9"/>
    <col min="1571" max="1571" width="11.625" style="9" bestFit="1" customWidth="1"/>
    <col min="1572" max="1789" width="9" style="9"/>
    <col min="1790" max="1790" width="14.875" style="9" customWidth="1"/>
    <col min="1791" max="1793" width="3.625" style="9" customWidth="1"/>
    <col min="1794" max="1795" width="12.625" style="9" customWidth="1"/>
    <col min="1796" max="1796" width="6" style="9" customWidth="1"/>
    <col min="1797" max="1797" width="12.625" style="9" customWidth="1"/>
    <col min="1798" max="1798" width="6" style="9" customWidth="1"/>
    <col min="1799" max="1808" width="3.875" style="9" customWidth="1"/>
    <col min="1809" max="1809" width="2.5" style="9" customWidth="1"/>
    <col min="1810" max="1810" width="12.375" style="9" customWidth="1"/>
    <col min="1811" max="1811" width="9.125" style="9" bestFit="1" customWidth="1"/>
    <col min="1812" max="1813" width="9" style="9"/>
    <col min="1814" max="1814" width="4.5" style="9" bestFit="1" customWidth="1"/>
    <col min="1815" max="1815" width="9" style="9"/>
    <col min="1816" max="1816" width="4.5" style="9" bestFit="1" customWidth="1"/>
    <col min="1817" max="1818" width="5.625" style="9" customWidth="1"/>
    <col min="1819" max="1819" width="9" style="9"/>
    <col min="1820" max="1820" width="5.625" style="9" customWidth="1"/>
    <col min="1821" max="1821" width="9" style="9"/>
    <col min="1822" max="1823" width="5.625" style="9" customWidth="1"/>
    <col min="1824" max="1824" width="9" style="9"/>
    <col min="1825" max="1825" width="5.625" style="9" customWidth="1"/>
    <col min="1826" max="1826" width="9" style="9"/>
    <col min="1827" max="1827" width="11.625" style="9" bestFit="1" customWidth="1"/>
    <col min="1828" max="2045" width="9" style="9"/>
    <col min="2046" max="2046" width="14.875" style="9" customWidth="1"/>
    <col min="2047" max="2049" width="3.625" style="9" customWidth="1"/>
    <col min="2050" max="2051" width="12.625" style="9" customWidth="1"/>
    <col min="2052" max="2052" width="6" style="9" customWidth="1"/>
    <col min="2053" max="2053" width="12.625" style="9" customWidth="1"/>
    <col min="2054" max="2054" width="6" style="9" customWidth="1"/>
    <col min="2055" max="2064" width="3.875" style="9" customWidth="1"/>
    <col min="2065" max="2065" width="2.5" style="9" customWidth="1"/>
    <col min="2066" max="2066" width="12.375" style="9" customWidth="1"/>
    <col min="2067" max="2067" width="9.125" style="9" bestFit="1" customWidth="1"/>
    <col min="2068" max="2069" width="9" style="9"/>
    <col min="2070" max="2070" width="4.5" style="9" bestFit="1" customWidth="1"/>
    <col min="2071" max="2071" width="9" style="9"/>
    <col min="2072" max="2072" width="4.5" style="9" bestFit="1" customWidth="1"/>
    <col min="2073" max="2074" width="5.625" style="9" customWidth="1"/>
    <col min="2075" max="2075" width="9" style="9"/>
    <col min="2076" max="2076" width="5.625" style="9" customWidth="1"/>
    <col min="2077" max="2077" width="9" style="9"/>
    <col min="2078" max="2079" width="5.625" style="9" customWidth="1"/>
    <col min="2080" max="2080" width="9" style="9"/>
    <col min="2081" max="2081" width="5.625" style="9" customWidth="1"/>
    <col min="2082" max="2082" width="9" style="9"/>
    <col min="2083" max="2083" width="11.625" style="9" bestFit="1" customWidth="1"/>
    <col min="2084" max="2301" width="9" style="9"/>
    <col min="2302" max="2302" width="14.875" style="9" customWidth="1"/>
    <col min="2303" max="2305" width="3.625" style="9" customWidth="1"/>
    <col min="2306" max="2307" width="12.625" style="9" customWidth="1"/>
    <col min="2308" max="2308" width="6" style="9" customWidth="1"/>
    <col min="2309" max="2309" width="12.625" style="9" customWidth="1"/>
    <col min="2310" max="2310" width="6" style="9" customWidth="1"/>
    <col min="2311" max="2320" width="3.875" style="9" customWidth="1"/>
    <col min="2321" max="2321" width="2.5" style="9" customWidth="1"/>
    <col min="2322" max="2322" width="12.375" style="9" customWidth="1"/>
    <col min="2323" max="2323" width="9.125" style="9" bestFit="1" customWidth="1"/>
    <col min="2324" max="2325" width="9" style="9"/>
    <col min="2326" max="2326" width="4.5" style="9" bestFit="1" customWidth="1"/>
    <col min="2327" max="2327" width="9" style="9"/>
    <col min="2328" max="2328" width="4.5" style="9" bestFit="1" customWidth="1"/>
    <col min="2329" max="2330" width="5.625" style="9" customWidth="1"/>
    <col min="2331" max="2331" width="9" style="9"/>
    <col min="2332" max="2332" width="5.625" style="9" customWidth="1"/>
    <col min="2333" max="2333" width="9" style="9"/>
    <col min="2334" max="2335" width="5.625" style="9" customWidth="1"/>
    <col min="2336" max="2336" width="9" style="9"/>
    <col min="2337" max="2337" width="5.625" style="9" customWidth="1"/>
    <col min="2338" max="2338" width="9" style="9"/>
    <col min="2339" max="2339" width="11.625" style="9" bestFit="1" customWidth="1"/>
    <col min="2340" max="2557" width="9" style="9"/>
    <col min="2558" max="2558" width="14.875" style="9" customWidth="1"/>
    <col min="2559" max="2561" width="3.625" style="9" customWidth="1"/>
    <col min="2562" max="2563" width="12.625" style="9" customWidth="1"/>
    <col min="2564" max="2564" width="6" style="9" customWidth="1"/>
    <col min="2565" max="2565" width="12.625" style="9" customWidth="1"/>
    <col min="2566" max="2566" width="6" style="9" customWidth="1"/>
    <col min="2567" max="2576" width="3.875" style="9" customWidth="1"/>
    <col min="2577" max="2577" width="2.5" style="9" customWidth="1"/>
    <col min="2578" max="2578" width="12.375" style="9" customWidth="1"/>
    <col min="2579" max="2579" width="9.125" style="9" bestFit="1" customWidth="1"/>
    <col min="2580" max="2581" width="9" style="9"/>
    <col min="2582" max="2582" width="4.5" style="9" bestFit="1" customWidth="1"/>
    <col min="2583" max="2583" width="9" style="9"/>
    <col min="2584" max="2584" width="4.5" style="9" bestFit="1" customWidth="1"/>
    <col min="2585" max="2586" width="5.625" style="9" customWidth="1"/>
    <col min="2587" max="2587" width="9" style="9"/>
    <col min="2588" max="2588" width="5.625" style="9" customWidth="1"/>
    <col min="2589" max="2589" width="9" style="9"/>
    <col min="2590" max="2591" width="5.625" style="9" customWidth="1"/>
    <col min="2592" max="2592" width="9" style="9"/>
    <col min="2593" max="2593" width="5.625" style="9" customWidth="1"/>
    <col min="2594" max="2594" width="9" style="9"/>
    <col min="2595" max="2595" width="11.625" style="9" bestFit="1" customWidth="1"/>
    <col min="2596" max="2813" width="9" style="9"/>
    <col min="2814" max="2814" width="14.875" style="9" customWidth="1"/>
    <col min="2815" max="2817" width="3.625" style="9" customWidth="1"/>
    <col min="2818" max="2819" width="12.625" style="9" customWidth="1"/>
    <col min="2820" max="2820" width="6" style="9" customWidth="1"/>
    <col min="2821" max="2821" width="12.625" style="9" customWidth="1"/>
    <col min="2822" max="2822" width="6" style="9" customWidth="1"/>
    <col min="2823" max="2832" width="3.875" style="9" customWidth="1"/>
    <col min="2833" max="2833" width="2.5" style="9" customWidth="1"/>
    <col min="2834" max="2834" width="12.375" style="9" customWidth="1"/>
    <col min="2835" max="2835" width="9.125" style="9" bestFit="1" customWidth="1"/>
    <col min="2836" max="2837" width="9" style="9"/>
    <col min="2838" max="2838" width="4.5" style="9" bestFit="1" customWidth="1"/>
    <col min="2839" max="2839" width="9" style="9"/>
    <col min="2840" max="2840" width="4.5" style="9" bestFit="1" customWidth="1"/>
    <col min="2841" max="2842" width="5.625" style="9" customWidth="1"/>
    <col min="2843" max="2843" width="9" style="9"/>
    <col min="2844" max="2844" width="5.625" style="9" customWidth="1"/>
    <col min="2845" max="2845" width="9" style="9"/>
    <col min="2846" max="2847" width="5.625" style="9" customWidth="1"/>
    <col min="2848" max="2848" width="9" style="9"/>
    <col min="2849" max="2849" width="5.625" style="9" customWidth="1"/>
    <col min="2850" max="2850" width="9" style="9"/>
    <col min="2851" max="2851" width="11.625" style="9" bestFit="1" customWidth="1"/>
    <col min="2852" max="3069" width="9" style="9"/>
    <col min="3070" max="3070" width="14.875" style="9" customWidth="1"/>
    <col min="3071" max="3073" width="3.625" style="9" customWidth="1"/>
    <col min="3074" max="3075" width="12.625" style="9" customWidth="1"/>
    <col min="3076" max="3076" width="6" style="9" customWidth="1"/>
    <col min="3077" max="3077" width="12.625" style="9" customWidth="1"/>
    <col min="3078" max="3078" width="6" style="9" customWidth="1"/>
    <col min="3079" max="3088" width="3.875" style="9" customWidth="1"/>
    <col min="3089" max="3089" width="2.5" style="9" customWidth="1"/>
    <col min="3090" max="3090" width="12.375" style="9" customWidth="1"/>
    <col min="3091" max="3091" width="9.125" style="9" bestFit="1" customWidth="1"/>
    <col min="3092" max="3093" width="9" style="9"/>
    <col min="3094" max="3094" width="4.5" style="9" bestFit="1" customWidth="1"/>
    <col min="3095" max="3095" width="9" style="9"/>
    <col min="3096" max="3096" width="4.5" style="9" bestFit="1" customWidth="1"/>
    <col min="3097" max="3098" width="5.625" style="9" customWidth="1"/>
    <col min="3099" max="3099" width="9" style="9"/>
    <col min="3100" max="3100" width="5.625" style="9" customWidth="1"/>
    <col min="3101" max="3101" width="9" style="9"/>
    <col min="3102" max="3103" width="5.625" style="9" customWidth="1"/>
    <col min="3104" max="3104" width="9" style="9"/>
    <col min="3105" max="3105" width="5.625" style="9" customWidth="1"/>
    <col min="3106" max="3106" width="9" style="9"/>
    <col min="3107" max="3107" width="11.625" style="9" bestFit="1" customWidth="1"/>
    <col min="3108" max="3325" width="9" style="9"/>
    <col min="3326" max="3326" width="14.875" style="9" customWidth="1"/>
    <col min="3327" max="3329" width="3.625" style="9" customWidth="1"/>
    <col min="3330" max="3331" width="12.625" style="9" customWidth="1"/>
    <col min="3332" max="3332" width="6" style="9" customWidth="1"/>
    <col min="3333" max="3333" width="12.625" style="9" customWidth="1"/>
    <col min="3334" max="3334" width="6" style="9" customWidth="1"/>
    <col min="3335" max="3344" width="3.875" style="9" customWidth="1"/>
    <col min="3345" max="3345" width="2.5" style="9" customWidth="1"/>
    <col min="3346" max="3346" width="12.375" style="9" customWidth="1"/>
    <col min="3347" max="3347" width="9.125" style="9" bestFit="1" customWidth="1"/>
    <col min="3348" max="3349" width="9" style="9"/>
    <col min="3350" max="3350" width="4.5" style="9" bestFit="1" customWidth="1"/>
    <col min="3351" max="3351" width="9" style="9"/>
    <col min="3352" max="3352" width="4.5" style="9" bestFit="1" customWidth="1"/>
    <col min="3353" max="3354" width="5.625" style="9" customWidth="1"/>
    <col min="3355" max="3355" width="9" style="9"/>
    <col min="3356" max="3356" width="5.625" style="9" customWidth="1"/>
    <col min="3357" max="3357" width="9" style="9"/>
    <col min="3358" max="3359" width="5.625" style="9" customWidth="1"/>
    <col min="3360" max="3360" width="9" style="9"/>
    <col min="3361" max="3361" width="5.625" style="9" customWidth="1"/>
    <col min="3362" max="3362" width="9" style="9"/>
    <col min="3363" max="3363" width="11.625" style="9" bestFit="1" customWidth="1"/>
    <col min="3364" max="3581" width="9" style="9"/>
    <col min="3582" max="3582" width="14.875" style="9" customWidth="1"/>
    <col min="3583" max="3585" width="3.625" style="9" customWidth="1"/>
    <col min="3586" max="3587" width="12.625" style="9" customWidth="1"/>
    <col min="3588" max="3588" width="6" style="9" customWidth="1"/>
    <col min="3589" max="3589" width="12.625" style="9" customWidth="1"/>
    <col min="3590" max="3590" width="6" style="9" customWidth="1"/>
    <col min="3591" max="3600" width="3.875" style="9" customWidth="1"/>
    <col min="3601" max="3601" width="2.5" style="9" customWidth="1"/>
    <col min="3602" max="3602" width="12.375" style="9" customWidth="1"/>
    <col min="3603" max="3603" width="9.125" style="9" bestFit="1" customWidth="1"/>
    <col min="3604" max="3605" width="9" style="9"/>
    <col min="3606" max="3606" width="4.5" style="9" bestFit="1" customWidth="1"/>
    <col min="3607" max="3607" width="9" style="9"/>
    <col min="3608" max="3608" width="4.5" style="9" bestFit="1" customWidth="1"/>
    <col min="3609" max="3610" width="5.625" style="9" customWidth="1"/>
    <col min="3611" max="3611" width="9" style="9"/>
    <col min="3612" max="3612" width="5.625" style="9" customWidth="1"/>
    <col min="3613" max="3613" width="9" style="9"/>
    <col min="3614" max="3615" width="5.625" style="9" customWidth="1"/>
    <col min="3616" max="3616" width="9" style="9"/>
    <col min="3617" max="3617" width="5.625" style="9" customWidth="1"/>
    <col min="3618" max="3618" width="9" style="9"/>
    <col min="3619" max="3619" width="11.625" style="9" bestFit="1" customWidth="1"/>
    <col min="3620" max="3837" width="9" style="9"/>
    <col min="3838" max="3838" width="14.875" style="9" customWidth="1"/>
    <col min="3839" max="3841" width="3.625" style="9" customWidth="1"/>
    <col min="3842" max="3843" width="12.625" style="9" customWidth="1"/>
    <col min="3844" max="3844" width="6" style="9" customWidth="1"/>
    <col min="3845" max="3845" width="12.625" style="9" customWidth="1"/>
    <col min="3846" max="3846" width="6" style="9" customWidth="1"/>
    <col min="3847" max="3856" width="3.875" style="9" customWidth="1"/>
    <col min="3857" max="3857" width="2.5" style="9" customWidth="1"/>
    <col min="3858" max="3858" width="12.375" style="9" customWidth="1"/>
    <col min="3859" max="3859" width="9.125" style="9" bestFit="1" customWidth="1"/>
    <col min="3860" max="3861" width="9" style="9"/>
    <col min="3862" max="3862" width="4.5" style="9" bestFit="1" customWidth="1"/>
    <col min="3863" max="3863" width="9" style="9"/>
    <col min="3864" max="3864" width="4.5" style="9" bestFit="1" customWidth="1"/>
    <col min="3865" max="3866" width="5.625" style="9" customWidth="1"/>
    <col min="3867" max="3867" width="9" style="9"/>
    <col min="3868" max="3868" width="5.625" style="9" customWidth="1"/>
    <col min="3869" max="3869" width="9" style="9"/>
    <col min="3870" max="3871" width="5.625" style="9" customWidth="1"/>
    <col min="3872" max="3872" width="9" style="9"/>
    <col min="3873" max="3873" width="5.625" style="9" customWidth="1"/>
    <col min="3874" max="3874" width="9" style="9"/>
    <col min="3875" max="3875" width="11.625" style="9" bestFit="1" customWidth="1"/>
    <col min="3876" max="4093" width="9" style="9"/>
    <col min="4094" max="4094" width="14.875" style="9" customWidth="1"/>
    <col min="4095" max="4097" width="3.625" style="9" customWidth="1"/>
    <col min="4098" max="4099" width="12.625" style="9" customWidth="1"/>
    <col min="4100" max="4100" width="6" style="9" customWidth="1"/>
    <col min="4101" max="4101" width="12.625" style="9" customWidth="1"/>
    <col min="4102" max="4102" width="6" style="9" customWidth="1"/>
    <col min="4103" max="4112" width="3.875" style="9" customWidth="1"/>
    <col min="4113" max="4113" width="2.5" style="9" customWidth="1"/>
    <col min="4114" max="4114" width="12.375" style="9" customWidth="1"/>
    <col min="4115" max="4115" width="9.125" style="9" bestFit="1" customWidth="1"/>
    <col min="4116" max="4117" width="9" style="9"/>
    <col min="4118" max="4118" width="4.5" style="9" bestFit="1" customWidth="1"/>
    <col min="4119" max="4119" width="9" style="9"/>
    <col min="4120" max="4120" width="4.5" style="9" bestFit="1" customWidth="1"/>
    <col min="4121" max="4122" width="5.625" style="9" customWidth="1"/>
    <col min="4123" max="4123" width="9" style="9"/>
    <col min="4124" max="4124" width="5.625" style="9" customWidth="1"/>
    <col min="4125" max="4125" width="9" style="9"/>
    <col min="4126" max="4127" width="5.625" style="9" customWidth="1"/>
    <col min="4128" max="4128" width="9" style="9"/>
    <col min="4129" max="4129" width="5.625" style="9" customWidth="1"/>
    <col min="4130" max="4130" width="9" style="9"/>
    <col min="4131" max="4131" width="11.625" style="9" bestFit="1" customWidth="1"/>
    <col min="4132" max="4349" width="9" style="9"/>
    <col min="4350" max="4350" width="14.875" style="9" customWidth="1"/>
    <col min="4351" max="4353" width="3.625" style="9" customWidth="1"/>
    <col min="4354" max="4355" width="12.625" style="9" customWidth="1"/>
    <col min="4356" max="4356" width="6" style="9" customWidth="1"/>
    <col min="4357" max="4357" width="12.625" style="9" customWidth="1"/>
    <col min="4358" max="4358" width="6" style="9" customWidth="1"/>
    <col min="4359" max="4368" width="3.875" style="9" customWidth="1"/>
    <col min="4369" max="4369" width="2.5" style="9" customWidth="1"/>
    <col min="4370" max="4370" width="12.375" style="9" customWidth="1"/>
    <col min="4371" max="4371" width="9.125" style="9" bestFit="1" customWidth="1"/>
    <col min="4372" max="4373" width="9" style="9"/>
    <col min="4374" max="4374" width="4.5" style="9" bestFit="1" customWidth="1"/>
    <col min="4375" max="4375" width="9" style="9"/>
    <col min="4376" max="4376" width="4.5" style="9" bestFit="1" customWidth="1"/>
    <col min="4377" max="4378" width="5.625" style="9" customWidth="1"/>
    <col min="4379" max="4379" width="9" style="9"/>
    <col min="4380" max="4380" width="5.625" style="9" customWidth="1"/>
    <col min="4381" max="4381" width="9" style="9"/>
    <col min="4382" max="4383" width="5.625" style="9" customWidth="1"/>
    <col min="4384" max="4384" width="9" style="9"/>
    <col min="4385" max="4385" width="5.625" style="9" customWidth="1"/>
    <col min="4386" max="4386" width="9" style="9"/>
    <col min="4387" max="4387" width="11.625" style="9" bestFit="1" customWidth="1"/>
    <col min="4388" max="4605" width="9" style="9"/>
    <col min="4606" max="4606" width="14.875" style="9" customWidth="1"/>
    <col min="4607" max="4609" width="3.625" style="9" customWidth="1"/>
    <col min="4610" max="4611" width="12.625" style="9" customWidth="1"/>
    <col min="4612" max="4612" width="6" style="9" customWidth="1"/>
    <col min="4613" max="4613" width="12.625" style="9" customWidth="1"/>
    <col min="4614" max="4614" width="6" style="9" customWidth="1"/>
    <col min="4615" max="4624" width="3.875" style="9" customWidth="1"/>
    <col min="4625" max="4625" width="2.5" style="9" customWidth="1"/>
    <col min="4626" max="4626" width="12.375" style="9" customWidth="1"/>
    <col min="4627" max="4627" width="9.125" style="9" bestFit="1" customWidth="1"/>
    <col min="4628" max="4629" width="9" style="9"/>
    <col min="4630" max="4630" width="4.5" style="9" bestFit="1" customWidth="1"/>
    <col min="4631" max="4631" width="9" style="9"/>
    <col min="4632" max="4632" width="4.5" style="9" bestFit="1" customWidth="1"/>
    <col min="4633" max="4634" width="5.625" style="9" customWidth="1"/>
    <col min="4635" max="4635" width="9" style="9"/>
    <col min="4636" max="4636" width="5.625" style="9" customWidth="1"/>
    <col min="4637" max="4637" width="9" style="9"/>
    <col min="4638" max="4639" width="5.625" style="9" customWidth="1"/>
    <col min="4640" max="4640" width="9" style="9"/>
    <col min="4641" max="4641" width="5.625" style="9" customWidth="1"/>
    <col min="4642" max="4642" width="9" style="9"/>
    <col min="4643" max="4643" width="11.625" style="9" bestFit="1" customWidth="1"/>
    <col min="4644" max="4861" width="9" style="9"/>
    <col min="4862" max="4862" width="14.875" style="9" customWidth="1"/>
    <col min="4863" max="4865" width="3.625" style="9" customWidth="1"/>
    <col min="4866" max="4867" width="12.625" style="9" customWidth="1"/>
    <col min="4868" max="4868" width="6" style="9" customWidth="1"/>
    <col min="4869" max="4869" width="12.625" style="9" customWidth="1"/>
    <col min="4870" max="4870" width="6" style="9" customWidth="1"/>
    <col min="4871" max="4880" width="3.875" style="9" customWidth="1"/>
    <col min="4881" max="4881" width="2.5" style="9" customWidth="1"/>
    <col min="4882" max="4882" width="12.375" style="9" customWidth="1"/>
    <col min="4883" max="4883" width="9.125" style="9" bestFit="1" customWidth="1"/>
    <col min="4884" max="4885" width="9" style="9"/>
    <col min="4886" max="4886" width="4.5" style="9" bestFit="1" customWidth="1"/>
    <col min="4887" max="4887" width="9" style="9"/>
    <col min="4888" max="4888" width="4.5" style="9" bestFit="1" customWidth="1"/>
    <col min="4889" max="4890" width="5.625" style="9" customWidth="1"/>
    <col min="4891" max="4891" width="9" style="9"/>
    <col min="4892" max="4892" width="5.625" style="9" customWidth="1"/>
    <col min="4893" max="4893" width="9" style="9"/>
    <col min="4894" max="4895" width="5.625" style="9" customWidth="1"/>
    <col min="4896" max="4896" width="9" style="9"/>
    <col min="4897" max="4897" width="5.625" style="9" customWidth="1"/>
    <col min="4898" max="4898" width="9" style="9"/>
    <col min="4899" max="4899" width="11.625" style="9" bestFit="1" customWidth="1"/>
    <col min="4900" max="5117" width="9" style="9"/>
    <col min="5118" max="5118" width="14.875" style="9" customWidth="1"/>
    <col min="5119" max="5121" width="3.625" style="9" customWidth="1"/>
    <col min="5122" max="5123" width="12.625" style="9" customWidth="1"/>
    <col min="5124" max="5124" width="6" style="9" customWidth="1"/>
    <col min="5125" max="5125" width="12.625" style="9" customWidth="1"/>
    <col min="5126" max="5126" width="6" style="9" customWidth="1"/>
    <col min="5127" max="5136" width="3.875" style="9" customWidth="1"/>
    <col min="5137" max="5137" width="2.5" style="9" customWidth="1"/>
    <col min="5138" max="5138" width="12.375" style="9" customWidth="1"/>
    <col min="5139" max="5139" width="9.125" style="9" bestFit="1" customWidth="1"/>
    <col min="5140" max="5141" width="9" style="9"/>
    <col min="5142" max="5142" width="4.5" style="9" bestFit="1" customWidth="1"/>
    <col min="5143" max="5143" width="9" style="9"/>
    <col min="5144" max="5144" width="4.5" style="9" bestFit="1" customWidth="1"/>
    <col min="5145" max="5146" width="5.625" style="9" customWidth="1"/>
    <col min="5147" max="5147" width="9" style="9"/>
    <col min="5148" max="5148" width="5.625" style="9" customWidth="1"/>
    <col min="5149" max="5149" width="9" style="9"/>
    <col min="5150" max="5151" width="5.625" style="9" customWidth="1"/>
    <col min="5152" max="5152" width="9" style="9"/>
    <col min="5153" max="5153" width="5.625" style="9" customWidth="1"/>
    <col min="5154" max="5154" width="9" style="9"/>
    <col min="5155" max="5155" width="11.625" style="9" bestFit="1" customWidth="1"/>
    <col min="5156" max="5373" width="9" style="9"/>
    <col min="5374" max="5374" width="14.875" style="9" customWidth="1"/>
    <col min="5375" max="5377" width="3.625" style="9" customWidth="1"/>
    <col min="5378" max="5379" width="12.625" style="9" customWidth="1"/>
    <col min="5380" max="5380" width="6" style="9" customWidth="1"/>
    <col min="5381" max="5381" width="12.625" style="9" customWidth="1"/>
    <col min="5382" max="5382" width="6" style="9" customWidth="1"/>
    <col min="5383" max="5392" width="3.875" style="9" customWidth="1"/>
    <col min="5393" max="5393" width="2.5" style="9" customWidth="1"/>
    <col min="5394" max="5394" width="12.375" style="9" customWidth="1"/>
    <col min="5395" max="5395" width="9.125" style="9" bestFit="1" customWidth="1"/>
    <col min="5396" max="5397" width="9" style="9"/>
    <col min="5398" max="5398" width="4.5" style="9" bestFit="1" customWidth="1"/>
    <col min="5399" max="5399" width="9" style="9"/>
    <col min="5400" max="5400" width="4.5" style="9" bestFit="1" customWidth="1"/>
    <col min="5401" max="5402" width="5.625" style="9" customWidth="1"/>
    <col min="5403" max="5403" width="9" style="9"/>
    <col min="5404" max="5404" width="5.625" style="9" customWidth="1"/>
    <col min="5405" max="5405" width="9" style="9"/>
    <col min="5406" max="5407" width="5.625" style="9" customWidth="1"/>
    <col min="5408" max="5408" width="9" style="9"/>
    <col min="5409" max="5409" width="5.625" style="9" customWidth="1"/>
    <col min="5410" max="5410" width="9" style="9"/>
    <col min="5411" max="5411" width="11.625" style="9" bestFit="1" customWidth="1"/>
    <col min="5412" max="5629" width="9" style="9"/>
    <col min="5630" max="5630" width="14.875" style="9" customWidth="1"/>
    <col min="5631" max="5633" width="3.625" style="9" customWidth="1"/>
    <col min="5634" max="5635" width="12.625" style="9" customWidth="1"/>
    <col min="5636" max="5636" width="6" style="9" customWidth="1"/>
    <col min="5637" max="5637" width="12.625" style="9" customWidth="1"/>
    <col min="5638" max="5638" width="6" style="9" customWidth="1"/>
    <col min="5639" max="5648" width="3.875" style="9" customWidth="1"/>
    <col min="5649" max="5649" width="2.5" style="9" customWidth="1"/>
    <col min="5650" max="5650" width="12.375" style="9" customWidth="1"/>
    <col min="5651" max="5651" width="9.125" style="9" bestFit="1" customWidth="1"/>
    <col min="5652" max="5653" width="9" style="9"/>
    <col min="5654" max="5654" width="4.5" style="9" bestFit="1" customWidth="1"/>
    <col min="5655" max="5655" width="9" style="9"/>
    <col min="5656" max="5656" width="4.5" style="9" bestFit="1" customWidth="1"/>
    <col min="5657" max="5658" width="5.625" style="9" customWidth="1"/>
    <col min="5659" max="5659" width="9" style="9"/>
    <col min="5660" max="5660" width="5.625" style="9" customWidth="1"/>
    <col min="5661" max="5661" width="9" style="9"/>
    <col min="5662" max="5663" width="5.625" style="9" customWidth="1"/>
    <col min="5664" max="5664" width="9" style="9"/>
    <col min="5665" max="5665" width="5.625" style="9" customWidth="1"/>
    <col min="5666" max="5666" width="9" style="9"/>
    <col min="5667" max="5667" width="11.625" style="9" bestFit="1" customWidth="1"/>
    <col min="5668" max="5885" width="9" style="9"/>
    <col min="5886" max="5886" width="14.875" style="9" customWidth="1"/>
    <col min="5887" max="5889" width="3.625" style="9" customWidth="1"/>
    <col min="5890" max="5891" width="12.625" style="9" customWidth="1"/>
    <col min="5892" max="5892" width="6" style="9" customWidth="1"/>
    <col min="5893" max="5893" width="12.625" style="9" customWidth="1"/>
    <col min="5894" max="5894" width="6" style="9" customWidth="1"/>
    <col min="5895" max="5904" width="3.875" style="9" customWidth="1"/>
    <col min="5905" max="5905" width="2.5" style="9" customWidth="1"/>
    <col min="5906" max="5906" width="12.375" style="9" customWidth="1"/>
    <col min="5907" max="5907" width="9.125" style="9" bestFit="1" customWidth="1"/>
    <col min="5908" max="5909" width="9" style="9"/>
    <col min="5910" max="5910" width="4.5" style="9" bestFit="1" customWidth="1"/>
    <col min="5911" max="5911" width="9" style="9"/>
    <col min="5912" max="5912" width="4.5" style="9" bestFit="1" customWidth="1"/>
    <col min="5913" max="5914" width="5.625" style="9" customWidth="1"/>
    <col min="5915" max="5915" width="9" style="9"/>
    <col min="5916" max="5916" width="5.625" style="9" customWidth="1"/>
    <col min="5917" max="5917" width="9" style="9"/>
    <col min="5918" max="5919" width="5.625" style="9" customWidth="1"/>
    <col min="5920" max="5920" width="9" style="9"/>
    <col min="5921" max="5921" width="5.625" style="9" customWidth="1"/>
    <col min="5922" max="5922" width="9" style="9"/>
    <col min="5923" max="5923" width="11.625" style="9" bestFit="1" customWidth="1"/>
    <col min="5924" max="6141" width="9" style="9"/>
    <col min="6142" max="6142" width="14.875" style="9" customWidth="1"/>
    <col min="6143" max="6145" width="3.625" style="9" customWidth="1"/>
    <col min="6146" max="6147" width="12.625" style="9" customWidth="1"/>
    <col min="6148" max="6148" width="6" style="9" customWidth="1"/>
    <col min="6149" max="6149" width="12.625" style="9" customWidth="1"/>
    <col min="6150" max="6150" width="6" style="9" customWidth="1"/>
    <col min="6151" max="6160" width="3.875" style="9" customWidth="1"/>
    <col min="6161" max="6161" width="2.5" style="9" customWidth="1"/>
    <col min="6162" max="6162" width="12.375" style="9" customWidth="1"/>
    <col min="6163" max="6163" width="9.125" style="9" bestFit="1" customWidth="1"/>
    <col min="6164" max="6165" width="9" style="9"/>
    <col min="6166" max="6166" width="4.5" style="9" bestFit="1" customWidth="1"/>
    <col min="6167" max="6167" width="9" style="9"/>
    <col min="6168" max="6168" width="4.5" style="9" bestFit="1" customWidth="1"/>
    <col min="6169" max="6170" width="5.625" style="9" customWidth="1"/>
    <col min="6171" max="6171" width="9" style="9"/>
    <col min="6172" max="6172" width="5.625" style="9" customWidth="1"/>
    <col min="6173" max="6173" width="9" style="9"/>
    <col min="6174" max="6175" width="5.625" style="9" customWidth="1"/>
    <col min="6176" max="6176" width="9" style="9"/>
    <col min="6177" max="6177" width="5.625" style="9" customWidth="1"/>
    <col min="6178" max="6178" width="9" style="9"/>
    <col min="6179" max="6179" width="11.625" style="9" bestFit="1" customWidth="1"/>
    <col min="6180" max="6397" width="9" style="9"/>
    <col min="6398" max="6398" width="14.875" style="9" customWidth="1"/>
    <col min="6399" max="6401" width="3.625" style="9" customWidth="1"/>
    <col min="6402" max="6403" width="12.625" style="9" customWidth="1"/>
    <col min="6404" max="6404" width="6" style="9" customWidth="1"/>
    <col min="6405" max="6405" width="12.625" style="9" customWidth="1"/>
    <col min="6406" max="6406" width="6" style="9" customWidth="1"/>
    <col min="6407" max="6416" width="3.875" style="9" customWidth="1"/>
    <col min="6417" max="6417" width="2.5" style="9" customWidth="1"/>
    <col min="6418" max="6418" width="12.375" style="9" customWidth="1"/>
    <col min="6419" max="6419" width="9.125" style="9" bestFit="1" customWidth="1"/>
    <col min="6420" max="6421" width="9" style="9"/>
    <col min="6422" max="6422" width="4.5" style="9" bestFit="1" customWidth="1"/>
    <col min="6423" max="6423" width="9" style="9"/>
    <col min="6424" max="6424" width="4.5" style="9" bestFit="1" customWidth="1"/>
    <col min="6425" max="6426" width="5.625" style="9" customWidth="1"/>
    <col min="6427" max="6427" width="9" style="9"/>
    <col min="6428" max="6428" width="5.625" style="9" customWidth="1"/>
    <col min="6429" max="6429" width="9" style="9"/>
    <col min="6430" max="6431" width="5.625" style="9" customWidth="1"/>
    <col min="6432" max="6432" width="9" style="9"/>
    <col min="6433" max="6433" width="5.625" style="9" customWidth="1"/>
    <col min="6434" max="6434" width="9" style="9"/>
    <col min="6435" max="6435" width="11.625" style="9" bestFit="1" customWidth="1"/>
    <col min="6436" max="6653" width="9" style="9"/>
    <col min="6654" max="6654" width="14.875" style="9" customWidth="1"/>
    <col min="6655" max="6657" width="3.625" style="9" customWidth="1"/>
    <col min="6658" max="6659" width="12.625" style="9" customWidth="1"/>
    <col min="6660" max="6660" width="6" style="9" customWidth="1"/>
    <col min="6661" max="6661" width="12.625" style="9" customWidth="1"/>
    <col min="6662" max="6662" width="6" style="9" customWidth="1"/>
    <col min="6663" max="6672" width="3.875" style="9" customWidth="1"/>
    <col min="6673" max="6673" width="2.5" style="9" customWidth="1"/>
    <col min="6674" max="6674" width="12.375" style="9" customWidth="1"/>
    <col min="6675" max="6675" width="9.125" style="9" bestFit="1" customWidth="1"/>
    <col min="6676" max="6677" width="9" style="9"/>
    <col min="6678" max="6678" width="4.5" style="9" bestFit="1" customWidth="1"/>
    <col min="6679" max="6679" width="9" style="9"/>
    <col min="6680" max="6680" width="4.5" style="9" bestFit="1" customWidth="1"/>
    <col min="6681" max="6682" width="5.625" style="9" customWidth="1"/>
    <col min="6683" max="6683" width="9" style="9"/>
    <col min="6684" max="6684" width="5.625" style="9" customWidth="1"/>
    <col min="6685" max="6685" width="9" style="9"/>
    <col min="6686" max="6687" width="5.625" style="9" customWidth="1"/>
    <col min="6688" max="6688" width="9" style="9"/>
    <col min="6689" max="6689" width="5.625" style="9" customWidth="1"/>
    <col min="6690" max="6690" width="9" style="9"/>
    <col min="6691" max="6691" width="11.625" style="9" bestFit="1" customWidth="1"/>
    <col min="6692" max="6909" width="9" style="9"/>
    <col min="6910" max="6910" width="14.875" style="9" customWidth="1"/>
    <col min="6911" max="6913" width="3.625" style="9" customWidth="1"/>
    <col min="6914" max="6915" width="12.625" style="9" customWidth="1"/>
    <col min="6916" max="6916" width="6" style="9" customWidth="1"/>
    <col min="6917" max="6917" width="12.625" style="9" customWidth="1"/>
    <col min="6918" max="6918" width="6" style="9" customWidth="1"/>
    <col min="6919" max="6928" width="3.875" style="9" customWidth="1"/>
    <col min="6929" max="6929" width="2.5" style="9" customWidth="1"/>
    <col min="6930" max="6930" width="12.375" style="9" customWidth="1"/>
    <col min="6931" max="6931" width="9.125" style="9" bestFit="1" customWidth="1"/>
    <col min="6932" max="6933" width="9" style="9"/>
    <col min="6934" max="6934" width="4.5" style="9" bestFit="1" customWidth="1"/>
    <col min="6935" max="6935" width="9" style="9"/>
    <col min="6936" max="6936" width="4.5" style="9" bestFit="1" customWidth="1"/>
    <col min="6937" max="6938" width="5.625" style="9" customWidth="1"/>
    <col min="6939" max="6939" width="9" style="9"/>
    <col min="6940" max="6940" width="5.625" style="9" customWidth="1"/>
    <col min="6941" max="6941" width="9" style="9"/>
    <col min="6942" max="6943" width="5.625" style="9" customWidth="1"/>
    <col min="6944" max="6944" width="9" style="9"/>
    <col min="6945" max="6945" width="5.625" style="9" customWidth="1"/>
    <col min="6946" max="6946" width="9" style="9"/>
    <col min="6947" max="6947" width="11.625" style="9" bestFit="1" customWidth="1"/>
    <col min="6948" max="7165" width="9" style="9"/>
    <col min="7166" max="7166" width="14.875" style="9" customWidth="1"/>
    <col min="7167" max="7169" width="3.625" style="9" customWidth="1"/>
    <col min="7170" max="7171" width="12.625" style="9" customWidth="1"/>
    <col min="7172" max="7172" width="6" style="9" customWidth="1"/>
    <col min="7173" max="7173" width="12.625" style="9" customWidth="1"/>
    <col min="7174" max="7174" width="6" style="9" customWidth="1"/>
    <col min="7175" max="7184" width="3.875" style="9" customWidth="1"/>
    <col min="7185" max="7185" width="2.5" style="9" customWidth="1"/>
    <col min="7186" max="7186" width="12.375" style="9" customWidth="1"/>
    <col min="7187" max="7187" width="9.125" style="9" bestFit="1" customWidth="1"/>
    <col min="7188" max="7189" width="9" style="9"/>
    <col min="7190" max="7190" width="4.5" style="9" bestFit="1" customWidth="1"/>
    <col min="7191" max="7191" width="9" style="9"/>
    <col min="7192" max="7192" width="4.5" style="9" bestFit="1" customWidth="1"/>
    <col min="7193" max="7194" width="5.625" style="9" customWidth="1"/>
    <col min="7195" max="7195" width="9" style="9"/>
    <col min="7196" max="7196" width="5.625" style="9" customWidth="1"/>
    <col min="7197" max="7197" width="9" style="9"/>
    <col min="7198" max="7199" width="5.625" style="9" customWidth="1"/>
    <col min="7200" max="7200" width="9" style="9"/>
    <col min="7201" max="7201" width="5.625" style="9" customWidth="1"/>
    <col min="7202" max="7202" width="9" style="9"/>
    <col min="7203" max="7203" width="11.625" style="9" bestFit="1" customWidth="1"/>
    <col min="7204" max="7421" width="9" style="9"/>
    <col min="7422" max="7422" width="14.875" style="9" customWidth="1"/>
    <col min="7423" max="7425" width="3.625" style="9" customWidth="1"/>
    <col min="7426" max="7427" width="12.625" style="9" customWidth="1"/>
    <col min="7428" max="7428" width="6" style="9" customWidth="1"/>
    <col min="7429" max="7429" width="12.625" style="9" customWidth="1"/>
    <col min="7430" max="7430" width="6" style="9" customWidth="1"/>
    <col min="7431" max="7440" width="3.875" style="9" customWidth="1"/>
    <col min="7441" max="7441" width="2.5" style="9" customWidth="1"/>
    <col min="7442" max="7442" width="12.375" style="9" customWidth="1"/>
    <col min="7443" max="7443" width="9.125" style="9" bestFit="1" customWidth="1"/>
    <col min="7444" max="7445" width="9" style="9"/>
    <col min="7446" max="7446" width="4.5" style="9" bestFit="1" customWidth="1"/>
    <col min="7447" max="7447" width="9" style="9"/>
    <col min="7448" max="7448" width="4.5" style="9" bestFit="1" customWidth="1"/>
    <col min="7449" max="7450" width="5.625" style="9" customWidth="1"/>
    <col min="7451" max="7451" width="9" style="9"/>
    <col min="7452" max="7452" width="5.625" style="9" customWidth="1"/>
    <col min="7453" max="7453" width="9" style="9"/>
    <col min="7454" max="7455" width="5.625" style="9" customWidth="1"/>
    <col min="7456" max="7456" width="9" style="9"/>
    <col min="7457" max="7457" width="5.625" style="9" customWidth="1"/>
    <col min="7458" max="7458" width="9" style="9"/>
    <col min="7459" max="7459" width="11.625" style="9" bestFit="1" customWidth="1"/>
    <col min="7460" max="7677" width="9" style="9"/>
    <col min="7678" max="7678" width="14.875" style="9" customWidth="1"/>
    <col min="7679" max="7681" width="3.625" style="9" customWidth="1"/>
    <col min="7682" max="7683" width="12.625" style="9" customWidth="1"/>
    <col min="7684" max="7684" width="6" style="9" customWidth="1"/>
    <col min="7685" max="7685" width="12.625" style="9" customWidth="1"/>
    <col min="7686" max="7686" width="6" style="9" customWidth="1"/>
    <col min="7687" max="7696" width="3.875" style="9" customWidth="1"/>
    <col min="7697" max="7697" width="2.5" style="9" customWidth="1"/>
    <col min="7698" max="7698" width="12.375" style="9" customWidth="1"/>
    <col min="7699" max="7699" width="9.125" style="9" bestFit="1" customWidth="1"/>
    <col min="7700" max="7701" width="9" style="9"/>
    <col min="7702" max="7702" width="4.5" style="9" bestFit="1" customWidth="1"/>
    <col min="7703" max="7703" width="9" style="9"/>
    <col min="7704" max="7704" width="4.5" style="9" bestFit="1" customWidth="1"/>
    <col min="7705" max="7706" width="5.625" style="9" customWidth="1"/>
    <col min="7707" max="7707" width="9" style="9"/>
    <col min="7708" max="7708" width="5.625" style="9" customWidth="1"/>
    <col min="7709" max="7709" width="9" style="9"/>
    <col min="7710" max="7711" width="5.625" style="9" customWidth="1"/>
    <col min="7712" max="7712" width="9" style="9"/>
    <col min="7713" max="7713" width="5.625" style="9" customWidth="1"/>
    <col min="7714" max="7714" width="9" style="9"/>
    <col min="7715" max="7715" width="11.625" style="9" bestFit="1" customWidth="1"/>
    <col min="7716" max="7933" width="9" style="9"/>
    <col min="7934" max="7934" width="14.875" style="9" customWidth="1"/>
    <col min="7935" max="7937" width="3.625" style="9" customWidth="1"/>
    <col min="7938" max="7939" width="12.625" style="9" customWidth="1"/>
    <col min="7940" max="7940" width="6" style="9" customWidth="1"/>
    <col min="7941" max="7941" width="12.625" style="9" customWidth="1"/>
    <col min="7942" max="7942" width="6" style="9" customWidth="1"/>
    <col min="7943" max="7952" width="3.875" style="9" customWidth="1"/>
    <col min="7953" max="7953" width="2.5" style="9" customWidth="1"/>
    <col min="7954" max="7954" width="12.375" style="9" customWidth="1"/>
    <col min="7955" max="7955" width="9.125" style="9" bestFit="1" customWidth="1"/>
    <col min="7956" max="7957" width="9" style="9"/>
    <col min="7958" max="7958" width="4.5" style="9" bestFit="1" customWidth="1"/>
    <col min="7959" max="7959" width="9" style="9"/>
    <col min="7960" max="7960" width="4.5" style="9" bestFit="1" customWidth="1"/>
    <col min="7961" max="7962" width="5.625" style="9" customWidth="1"/>
    <col min="7963" max="7963" width="9" style="9"/>
    <col min="7964" max="7964" width="5.625" style="9" customWidth="1"/>
    <col min="7965" max="7965" width="9" style="9"/>
    <col min="7966" max="7967" width="5.625" style="9" customWidth="1"/>
    <col min="7968" max="7968" width="9" style="9"/>
    <col min="7969" max="7969" width="5.625" style="9" customWidth="1"/>
    <col min="7970" max="7970" width="9" style="9"/>
    <col min="7971" max="7971" width="11.625" style="9" bestFit="1" customWidth="1"/>
    <col min="7972" max="8189" width="9" style="9"/>
    <col min="8190" max="8190" width="14.875" style="9" customWidth="1"/>
    <col min="8191" max="8193" width="3.625" style="9" customWidth="1"/>
    <col min="8194" max="8195" width="12.625" style="9" customWidth="1"/>
    <col min="8196" max="8196" width="6" style="9" customWidth="1"/>
    <col min="8197" max="8197" width="12.625" style="9" customWidth="1"/>
    <col min="8198" max="8198" width="6" style="9" customWidth="1"/>
    <col min="8199" max="8208" width="3.875" style="9" customWidth="1"/>
    <col min="8209" max="8209" width="2.5" style="9" customWidth="1"/>
    <col min="8210" max="8210" width="12.375" style="9" customWidth="1"/>
    <col min="8211" max="8211" width="9.125" style="9" bestFit="1" customWidth="1"/>
    <col min="8212" max="8213" width="9" style="9"/>
    <col min="8214" max="8214" width="4.5" style="9" bestFit="1" customWidth="1"/>
    <col min="8215" max="8215" width="9" style="9"/>
    <col min="8216" max="8216" width="4.5" style="9" bestFit="1" customWidth="1"/>
    <col min="8217" max="8218" width="5.625" style="9" customWidth="1"/>
    <col min="8219" max="8219" width="9" style="9"/>
    <col min="8220" max="8220" width="5.625" style="9" customWidth="1"/>
    <col min="8221" max="8221" width="9" style="9"/>
    <col min="8222" max="8223" width="5.625" style="9" customWidth="1"/>
    <col min="8224" max="8224" width="9" style="9"/>
    <col min="8225" max="8225" width="5.625" style="9" customWidth="1"/>
    <col min="8226" max="8226" width="9" style="9"/>
    <col min="8227" max="8227" width="11.625" style="9" bestFit="1" customWidth="1"/>
    <col min="8228" max="8445" width="9" style="9"/>
    <col min="8446" max="8446" width="14.875" style="9" customWidth="1"/>
    <col min="8447" max="8449" width="3.625" style="9" customWidth="1"/>
    <col min="8450" max="8451" width="12.625" style="9" customWidth="1"/>
    <col min="8452" max="8452" width="6" style="9" customWidth="1"/>
    <col min="8453" max="8453" width="12.625" style="9" customWidth="1"/>
    <col min="8454" max="8454" width="6" style="9" customWidth="1"/>
    <col min="8455" max="8464" width="3.875" style="9" customWidth="1"/>
    <col min="8465" max="8465" width="2.5" style="9" customWidth="1"/>
    <col min="8466" max="8466" width="12.375" style="9" customWidth="1"/>
    <col min="8467" max="8467" width="9.125" style="9" bestFit="1" customWidth="1"/>
    <col min="8468" max="8469" width="9" style="9"/>
    <col min="8470" max="8470" width="4.5" style="9" bestFit="1" customWidth="1"/>
    <col min="8471" max="8471" width="9" style="9"/>
    <col min="8472" max="8472" width="4.5" style="9" bestFit="1" customWidth="1"/>
    <col min="8473" max="8474" width="5.625" style="9" customWidth="1"/>
    <col min="8475" max="8475" width="9" style="9"/>
    <col min="8476" max="8476" width="5.625" style="9" customWidth="1"/>
    <col min="8477" max="8477" width="9" style="9"/>
    <col min="8478" max="8479" width="5.625" style="9" customWidth="1"/>
    <col min="8480" max="8480" width="9" style="9"/>
    <col min="8481" max="8481" width="5.625" style="9" customWidth="1"/>
    <col min="8482" max="8482" width="9" style="9"/>
    <col min="8483" max="8483" width="11.625" style="9" bestFit="1" customWidth="1"/>
    <col min="8484" max="8701" width="9" style="9"/>
    <col min="8702" max="8702" width="14.875" style="9" customWidth="1"/>
    <col min="8703" max="8705" width="3.625" style="9" customWidth="1"/>
    <col min="8706" max="8707" width="12.625" style="9" customWidth="1"/>
    <col min="8708" max="8708" width="6" style="9" customWidth="1"/>
    <col min="8709" max="8709" width="12.625" style="9" customWidth="1"/>
    <col min="8710" max="8710" width="6" style="9" customWidth="1"/>
    <col min="8711" max="8720" width="3.875" style="9" customWidth="1"/>
    <col min="8721" max="8721" width="2.5" style="9" customWidth="1"/>
    <col min="8722" max="8722" width="12.375" style="9" customWidth="1"/>
    <col min="8723" max="8723" width="9.125" style="9" bestFit="1" customWidth="1"/>
    <col min="8724" max="8725" width="9" style="9"/>
    <col min="8726" max="8726" width="4.5" style="9" bestFit="1" customWidth="1"/>
    <col min="8727" max="8727" width="9" style="9"/>
    <col min="8728" max="8728" width="4.5" style="9" bestFit="1" customWidth="1"/>
    <col min="8729" max="8730" width="5.625" style="9" customWidth="1"/>
    <col min="8731" max="8731" width="9" style="9"/>
    <col min="8732" max="8732" width="5.625" style="9" customWidth="1"/>
    <col min="8733" max="8733" width="9" style="9"/>
    <col min="8734" max="8735" width="5.625" style="9" customWidth="1"/>
    <col min="8736" max="8736" width="9" style="9"/>
    <col min="8737" max="8737" width="5.625" style="9" customWidth="1"/>
    <col min="8738" max="8738" width="9" style="9"/>
    <col min="8739" max="8739" width="11.625" style="9" bestFit="1" customWidth="1"/>
    <col min="8740" max="8957" width="9" style="9"/>
    <col min="8958" max="8958" width="14.875" style="9" customWidth="1"/>
    <col min="8959" max="8961" width="3.625" style="9" customWidth="1"/>
    <col min="8962" max="8963" width="12.625" style="9" customWidth="1"/>
    <col min="8964" max="8964" width="6" style="9" customWidth="1"/>
    <col min="8965" max="8965" width="12.625" style="9" customWidth="1"/>
    <col min="8966" max="8966" width="6" style="9" customWidth="1"/>
    <col min="8967" max="8976" width="3.875" style="9" customWidth="1"/>
    <col min="8977" max="8977" width="2.5" style="9" customWidth="1"/>
    <col min="8978" max="8978" width="12.375" style="9" customWidth="1"/>
    <col min="8979" max="8979" width="9.125" style="9" bestFit="1" customWidth="1"/>
    <col min="8980" max="8981" width="9" style="9"/>
    <col min="8982" max="8982" width="4.5" style="9" bestFit="1" customWidth="1"/>
    <col min="8983" max="8983" width="9" style="9"/>
    <col min="8984" max="8984" width="4.5" style="9" bestFit="1" customWidth="1"/>
    <col min="8985" max="8986" width="5.625" style="9" customWidth="1"/>
    <col min="8987" max="8987" width="9" style="9"/>
    <col min="8988" max="8988" width="5.625" style="9" customWidth="1"/>
    <col min="8989" max="8989" width="9" style="9"/>
    <col min="8990" max="8991" width="5.625" style="9" customWidth="1"/>
    <col min="8992" max="8992" width="9" style="9"/>
    <col min="8993" max="8993" width="5.625" style="9" customWidth="1"/>
    <col min="8994" max="8994" width="9" style="9"/>
    <col min="8995" max="8995" width="11.625" style="9" bestFit="1" customWidth="1"/>
    <col min="8996" max="9213" width="9" style="9"/>
    <col min="9214" max="9214" width="14.875" style="9" customWidth="1"/>
    <col min="9215" max="9217" width="3.625" style="9" customWidth="1"/>
    <col min="9218" max="9219" width="12.625" style="9" customWidth="1"/>
    <col min="9220" max="9220" width="6" style="9" customWidth="1"/>
    <col min="9221" max="9221" width="12.625" style="9" customWidth="1"/>
    <col min="9222" max="9222" width="6" style="9" customWidth="1"/>
    <col min="9223" max="9232" width="3.875" style="9" customWidth="1"/>
    <col min="9233" max="9233" width="2.5" style="9" customWidth="1"/>
    <col min="9234" max="9234" width="12.375" style="9" customWidth="1"/>
    <col min="9235" max="9235" width="9.125" style="9" bestFit="1" customWidth="1"/>
    <col min="9236" max="9237" width="9" style="9"/>
    <col min="9238" max="9238" width="4.5" style="9" bestFit="1" customWidth="1"/>
    <col min="9239" max="9239" width="9" style="9"/>
    <col min="9240" max="9240" width="4.5" style="9" bestFit="1" customWidth="1"/>
    <col min="9241" max="9242" width="5.625" style="9" customWidth="1"/>
    <col min="9243" max="9243" width="9" style="9"/>
    <col min="9244" max="9244" width="5.625" style="9" customWidth="1"/>
    <col min="9245" max="9245" width="9" style="9"/>
    <col min="9246" max="9247" width="5.625" style="9" customWidth="1"/>
    <col min="9248" max="9248" width="9" style="9"/>
    <col min="9249" max="9249" width="5.625" style="9" customWidth="1"/>
    <col min="9250" max="9250" width="9" style="9"/>
    <col min="9251" max="9251" width="11.625" style="9" bestFit="1" customWidth="1"/>
    <col min="9252" max="9469" width="9" style="9"/>
    <col min="9470" max="9470" width="14.875" style="9" customWidth="1"/>
    <col min="9471" max="9473" width="3.625" style="9" customWidth="1"/>
    <col min="9474" max="9475" width="12.625" style="9" customWidth="1"/>
    <col min="9476" max="9476" width="6" style="9" customWidth="1"/>
    <col min="9477" max="9477" width="12.625" style="9" customWidth="1"/>
    <col min="9478" max="9478" width="6" style="9" customWidth="1"/>
    <col min="9479" max="9488" width="3.875" style="9" customWidth="1"/>
    <col min="9489" max="9489" width="2.5" style="9" customWidth="1"/>
    <col min="9490" max="9490" width="12.375" style="9" customWidth="1"/>
    <col min="9491" max="9491" width="9.125" style="9" bestFit="1" customWidth="1"/>
    <col min="9492" max="9493" width="9" style="9"/>
    <col min="9494" max="9494" width="4.5" style="9" bestFit="1" customWidth="1"/>
    <col min="9495" max="9495" width="9" style="9"/>
    <col min="9496" max="9496" width="4.5" style="9" bestFit="1" customWidth="1"/>
    <col min="9497" max="9498" width="5.625" style="9" customWidth="1"/>
    <col min="9499" max="9499" width="9" style="9"/>
    <col min="9500" max="9500" width="5.625" style="9" customWidth="1"/>
    <col min="9501" max="9501" width="9" style="9"/>
    <col min="9502" max="9503" width="5.625" style="9" customWidth="1"/>
    <col min="9504" max="9504" width="9" style="9"/>
    <col min="9505" max="9505" width="5.625" style="9" customWidth="1"/>
    <col min="9506" max="9506" width="9" style="9"/>
    <col min="9507" max="9507" width="11.625" style="9" bestFit="1" customWidth="1"/>
    <col min="9508" max="9725" width="9" style="9"/>
    <col min="9726" max="9726" width="14.875" style="9" customWidth="1"/>
    <col min="9727" max="9729" width="3.625" style="9" customWidth="1"/>
    <col min="9730" max="9731" width="12.625" style="9" customWidth="1"/>
    <col min="9732" max="9732" width="6" style="9" customWidth="1"/>
    <col min="9733" max="9733" width="12.625" style="9" customWidth="1"/>
    <col min="9734" max="9734" width="6" style="9" customWidth="1"/>
    <col min="9735" max="9744" width="3.875" style="9" customWidth="1"/>
    <col min="9745" max="9745" width="2.5" style="9" customWidth="1"/>
    <col min="9746" max="9746" width="12.375" style="9" customWidth="1"/>
    <col min="9747" max="9747" width="9.125" style="9" bestFit="1" customWidth="1"/>
    <col min="9748" max="9749" width="9" style="9"/>
    <col min="9750" max="9750" width="4.5" style="9" bestFit="1" customWidth="1"/>
    <col min="9751" max="9751" width="9" style="9"/>
    <col min="9752" max="9752" width="4.5" style="9" bestFit="1" customWidth="1"/>
    <col min="9753" max="9754" width="5.625" style="9" customWidth="1"/>
    <col min="9755" max="9755" width="9" style="9"/>
    <col min="9756" max="9756" width="5.625" style="9" customWidth="1"/>
    <col min="9757" max="9757" width="9" style="9"/>
    <col min="9758" max="9759" width="5.625" style="9" customWidth="1"/>
    <col min="9760" max="9760" width="9" style="9"/>
    <col min="9761" max="9761" width="5.625" style="9" customWidth="1"/>
    <col min="9762" max="9762" width="9" style="9"/>
    <col min="9763" max="9763" width="11.625" style="9" bestFit="1" customWidth="1"/>
    <col min="9764" max="9981" width="9" style="9"/>
    <col min="9982" max="9982" width="14.875" style="9" customWidth="1"/>
    <col min="9983" max="9985" width="3.625" style="9" customWidth="1"/>
    <col min="9986" max="9987" width="12.625" style="9" customWidth="1"/>
    <col min="9988" max="9988" width="6" style="9" customWidth="1"/>
    <col min="9989" max="9989" width="12.625" style="9" customWidth="1"/>
    <col min="9990" max="9990" width="6" style="9" customWidth="1"/>
    <col min="9991" max="10000" width="3.875" style="9" customWidth="1"/>
    <col min="10001" max="10001" width="2.5" style="9" customWidth="1"/>
    <col min="10002" max="10002" width="12.375" style="9" customWidth="1"/>
    <col min="10003" max="10003" width="9.125" style="9" bestFit="1" customWidth="1"/>
    <col min="10004" max="10005" width="9" style="9"/>
    <col min="10006" max="10006" width="4.5" style="9" bestFit="1" customWidth="1"/>
    <col min="10007" max="10007" width="9" style="9"/>
    <col min="10008" max="10008" width="4.5" style="9" bestFit="1" customWidth="1"/>
    <col min="10009" max="10010" width="5.625" style="9" customWidth="1"/>
    <col min="10011" max="10011" width="9" style="9"/>
    <col min="10012" max="10012" width="5.625" style="9" customWidth="1"/>
    <col min="10013" max="10013" width="9" style="9"/>
    <col min="10014" max="10015" width="5.625" style="9" customWidth="1"/>
    <col min="10016" max="10016" width="9" style="9"/>
    <col min="10017" max="10017" width="5.625" style="9" customWidth="1"/>
    <col min="10018" max="10018" width="9" style="9"/>
    <col min="10019" max="10019" width="11.625" style="9" bestFit="1" customWidth="1"/>
    <col min="10020" max="10237" width="9" style="9"/>
    <col min="10238" max="10238" width="14.875" style="9" customWidth="1"/>
    <col min="10239" max="10241" width="3.625" style="9" customWidth="1"/>
    <col min="10242" max="10243" width="12.625" style="9" customWidth="1"/>
    <col min="10244" max="10244" width="6" style="9" customWidth="1"/>
    <col min="10245" max="10245" width="12.625" style="9" customWidth="1"/>
    <col min="10246" max="10246" width="6" style="9" customWidth="1"/>
    <col min="10247" max="10256" width="3.875" style="9" customWidth="1"/>
    <col min="10257" max="10257" width="2.5" style="9" customWidth="1"/>
    <col min="10258" max="10258" width="12.375" style="9" customWidth="1"/>
    <col min="10259" max="10259" width="9.125" style="9" bestFit="1" customWidth="1"/>
    <col min="10260" max="10261" width="9" style="9"/>
    <col min="10262" max="10262" width="4.5" style="9" bestFit="1" customWidth="1"/>
    <col min="10263" max="10263" width="9" style="9"/>
    <col min="10264" max="10264" width="4.5" style="9" bestFit="1" customWidth="1"/>
    <col min="10265" max="10266" width="5.625" style="9" customWidth="1"/>
    <col min="10267" max="10267" width="9" style="9"/>
    <col min="10268" max="10268" width="5.625" style="9" customWidth="1"/>
    <col min="10269" max="10269" width="9" style="9"/>
    <col min="10270" max="10271" width="5.625" style="9" customWidth="1"/>
    <col min="10272" max="10272" width="9" style="9"/>
    <col min="10273" max="10273" width="5.625" style="9" customWidth="1"/>
    <col min="10274" max="10274" width="9" style="9"/>
    <col min="10275" max="10275" width="11.625" style="9" bestFit="1" customWidth="1"/>
    <col min="10276" max="10493" width="9" style="9"/>
    <col min="10494" max="10494" width="14.875" style="9" customWidth="1"/>
    <col min="10495" max="10497" width="3.625" style="9" customWidth="1"/>
    <col min="10498" max="10499" width="12.625" style="9" customWidth="1"/>
    <col min="10500" max="10500" width="6" style="9" customWidth="1"/>
    <col min="10501" max="10501" width="12.625" style="9" customWidth="1"/>
    <col min="10502" max="10502" width="6" style="9" customWidth="1"/>
    <col min="10503" max="10512" width="3.875" style="9" customWidth="1"/>
    <col min="10513" max="10513" width="2.5" style="9" customWidth="1"/>
    <col min="10514" max="10514" width="12.375" style="9" customWidth="1"/>
    <col min="10515" max="10515" width="9.125" style="9" bestFit="1" customWidth="1"/>
    <col min="10516" max="10517" width="9" style="9"/>
    <col min="10518" max="10518" width="4.5" style="9" bestFit="1" customWidth="1"/>
    <col min="10519" max="10519" width="9" style="9"/>
    <col min="10520" max="10520" width="4.5" style="9" bestFit="1" customWidth="1"/>
    <col min="10521" max="10522" width="5.625" style="9" customWidth="1"/>
    <col min="10523" max="10523" width="9" style="9"/>
    <col min="10524" max="10524" width="5.625" style="9" customWidth="1"/>
    <col min="10525" max="10525" width="9" style="9"/>
    <col min="10526" max="10527" width="5.625" style="9" customWidth="1"/>
    <col min="10528" max="10528" width="9" style="9"/>
    <col min="10529" max="10529" width="5.625" style="9" customWidth="1"/>
    <col min="10530" max="10530" width="9" style="9"/>
    <col min="10531" max="10531" width="11.625" style="9" bestFit="1" customWidth="1"/>
    <col min="10532" max="10749" width="9" style="9"/>
    <col min="10750" max="10750" width="14.875" style="9" customWidth="1"/>
    <col min="10751" max="10753" width="3.625" style="9" customWidth="1"/>
    <col min="10754" max="10755" width="12.625" style="9" customWidth="1"/>
    <col min="10756" max="10756" width="6" style="9" customWidth="1"/>
    <col min="10757" max="10757" width="12.625" style="9" customWidth="1"/>
    <col min="10758" max="10758" width="6" style="9" customWidth="1"/>
    <col min="10759" max="10768" width="3.875" style="9" customWidth="1"/>
    <col min="10769" max="10769" width="2.5" style="9" customWidth="1"/>
    <col min="10770" max="10770" width="12.375" style="9" customWidth="1"/>
    <col min="10771" max="10771" width="9.125" style="9" bestFit="1" customWidth="1"/>
    <col min="10772" max="10773" width="9" style="9"/>
    <col min="10774" max="10774" width="4.5" style="9" bestFit="1" customWidth="1"/>
    <col min="10775" max="10775" width="9" style="9"/>
    <col min="10776" max="10776" width="4.5" style="9" bestFit="1" customWidth="1"/>
    <col min="10777" max="10778" width="5.625" style="9" customWidth="1"/>
    <col min="10779" max="10779" width="9" style="9"/>
    <col min="10780" max="10780" width="5.625" style="9" customWidth="1"/>
    <col min="10781" max="10781" width="9" style="9"/>
    <col min="10782" max="10783" width="5.625" style="9" customWidth="1"/>
    <col min="10784" max="10784" width="9" style="9"/>
    <col min="10785" max="10785" width="5.625" style="9" customWidth="1"/>
    <col min="10786" max="10786" width="9" style="9"/>
    <col min="10787" max="10787" width="11.625" style="9" bestFit="1" customWidth="1"/>
    <col min="10788" max="11005" width="9" style="9"/>
    <col min="11006" max="11006" width="14.875" style="9" customWidth="1"/>
    <col min="11007" max="11009" width="3.625" style="9" customWidth="1"/>
    <col min="11010" max="11011" width="12.625" style="9" customWidth="1"/>
    <col min="11012" max="11012" width="6" style="9" customWidth="1"/>
    <col min="11013" max="11013" width="12.625" style="9" customWidth="1"/>
    <col min="11014" max="11014" width="6" style="9" customWidth="1"/>
    <col min="11015" max="11024" width="3.875" style="9" customWidth="1"/>
    <col min="11025" max="11025" width="2.5" style="9" customWidth="1"/>
    <col min="11026" max="11026" width="12.375" style="9" customWidth="1"/>
    <col min="11027" max="11027" width="9.125" style="9" bestFit="1" customWidth="1"/>
    <col min="11028" max="11029" width="9" style="9"/>
    <col min="11030" max="11030" width="4.5" style="9" bestFit="1" customWidth="1"/>
    <col min="11031" max="11031" width="9" style="9"/>
    <col min="11032" max="11032" width="4.5" style="9" bestFit="1" customWidth="1"/>
    <col min="11033" max="11034" width="5.625" style="9" customWidth="1"/>
    <col min="11035" max="11035" width="9" style="9"/>
    <col min="11036" max="11036" width="5.625" style="9" customWidth="1"/>
    <col min="11037" max="11037" width="9" style="9"/>
    <col min="11038" max="11039" width="5.625" style="9" customWidth="1"/>
    <col min="11040" max="11040" width="9" style="9"/>
    <col min="11041" max="11041" width="5.625" style="9" customWidth="1"/>
    <col min="11042" max="11042" width="9" style="9"/>
    <col min="11043" max="11043" width="11.625" style="9" bestFit="1" customWidth="1"/>
    <col min="11044" max="11261" width="9" style="9"/>
    <col min="11262" max="11262" width="14.875" style="9" customWidth="1"/>
    <col min="11263" max="11265" width="3.625" style="9" customWidth="1"/>
    <col min="11266" max="11267" width="12.625" style="9" customWidth="1"/>
    <col min="11268" max="11268" width="6" style="9" customWidth="1"/>
    <col min="11269" max="11269" width="12.625" style="9" customWidth="1"/>
    <col min="11270" max="11270" width="6" style="9" customWidth="1"/>
    <col min="11271" max="11280" width="3.875" style="9" customWidth="1"/>
    <col min="11281" max="11281" width="2.5" style="9" customWidth="1"/>
    <col min="11282" max="11282" width="12.375" style="9" customWidth="1"/>
    <col min="11283" max="11283" width="9.125" style="9" bestFit="1" customWidth="1"/>
    <col min="11284" max="11285" width="9" style="9"/>
    <col min="11286" max="11286" width="4.5" style="9" bestFit="1" customWidth="1"/>
    <col min="11287" max="11287" width="9" style="9"/>
    <col min="11288" max="11288" width="4.5" style="9" bestFit="1" customWidth="1"/>
    <col min="11289" max="11290" width="5.625" style="9" customWidth="1"/>
    <col min="11291" max="11291" width="9" style="9"/>
    <col min="11292" max="11292" width="5.625" style="9" customWidth="1"/>
    <col min="11293" max="11293" width="9" style="9"/>
    <col min="11294" max="11295" width="5.625" style="9" customWidth="1"/>
    <col min="11296" max="11296" width="9" style="9"/>
    <col min="11297" max="11297" width="5.625" style="9" customWidth="1"/>
    <col min="11298" max="11298" width="9" style="9"/>
    <col min="11299" max="11299" width="11.625" style="9" bestFit="1" customWidth="1"/>
    <col min="11300" max="11517" width="9" style="9"/>
    <col min="11518" max="11518" width="14.875" style="9" customWidth="1"/>
    <col min="11519" max="11521" width="3.625" style="9" customWidth="1"/>
    <col min="11522" max="11523" width="12.625" style="9" customWidth="1"/>
    <col min="11524" max="11524" width="6" style="9" customWidth="1"/>
    <col min="11525" max="11525" width="12.625" style="9" customWidth="1"/>
    <col min="11526" max="11526" width="6" style="9" customWidth="1"/>
    <col min="11527" max="11536" width="3.875" style="9" customWidth="1"/>
    <col min="11537" max="11537" width="2.5" style="9" customWidth="1"/>
    <col min="11538" max="11538" width="12.375" style="9" customWidth="1"/>
    <col min="11539" max="11539" width="9.125" style="9" bestFit="1" customWidth="1"/>
    <col min="11540" max="11541" width="9" style="9"/>
    <col min="11542" max="11542" width="4.5" style="9" bestFit="1" customWidth="1"/>
    <col min="11543" max="11543" width="9" style="9"/>
    <col min="11544" max="11544" width="4.5" style="9" bestFit="1" customWidth="1"/>
    <col min="11545" max="11546" width="5.625" style="9" customWidth="1"/>
    <col min="11547" max="11547" width="9" style="9"/>
    <col min="11548" max="11548" width="5.625" style="9" customWidth="1"/>
    <col min="11549" max="11549" width="9" style="9"/>
    <col min="11550" max="11551" width="5.625" style="9" customWidth="1"/>
    <col min="11552" max="11552" width="9" style="9"/>
    <col min="11553" max="11553" width="5.625" style="9" customWidth="1"/>
    <col min="11554" max="11554" width="9" style="9"/>
    <col min="11555" max="11555" width="11.625" style="9" bestFit="1" customWidth="1"/>
    <col min="11556" max="11773" width="9" style="9"/>
    <col min="11774" max="11774" width="14.875" style="9" customWidth="1"/>
    <col min="11775" max="11777" width="3.625" style="9" customWidth="1"/>
    <col min="11778" max="11779" width="12.625" style="9" customWidth="1"/>
    <col min="11780" max="11780" width="6" style="9" customWidth="1"/>
    <col min="11781" max="11781" width="12.625" style="9" customWidth="1"/>
    <col min="11782" max="11782" width="6" style="9" customWidth="1"/>
    <col min="11783" max="11792" width="3.875" style="9" customWidth="1"/>
    <col min="11793" max="11793" width="2.5" style="9" customWidth="1"/>
    <col min="11794" max="11794" width="12.375" style="9" customWidth="1"/>
    <col min="11795" max="11795" width="9.125" style="9" bestFit="1" customWidth="1"/>
    <col min="11796" max="11797" width="9" style="9"/>
    <col min="11798" max="11798" width="4.5" style="9" bestFit="1" customWidth="1"/>
    <col min="11799" max="11799" width="9" style="9"/>
    <col min="11800" max="11800" width="4.5" style="9" bestFit="1" customWidth="1"/>
    <col min="11801" max="11802" width="5.625" style="9" customWidth="1"/>
    <col min="11803" max="11803" width="9" style="9"/>
    <col min="11804" max="11804" width="5.625" style="9" customWidth="1"/>
    <col min="11805" max="11805" width="9" style="9"/>
    <col min="11806" max="11807" width="5.625" style="9" customWidth="1"/>
    <col min="11808" max="11808" width="9" style="9"/>
    <col min="11809" max="11809" width="5.625" style="9" customWidth="1"/>
    <col min="11810" max="11810" width="9" style="9"/>
    <col min="11811" max="11811" width="11.625" style="9" bestFit="1" customWidth="1"/>
    <col min="11812" max="12029" width="9" style="9"/>
    <col min="12030" max="12030" width="14.875" style="9" customWidth="1"/>
    <col min="12031" max="12033" width="3.625" style="9" customWidth="1"/>
    <col min="12034" max="12035" width="12.625" style="9" customWidth="1"/>
    <col min="12036" max="12036" width="6" style="9" customWidth="1"/>
    <col min="12037" max="12037" width="12.625" style="9" customWidth="1"/>
    <col min="12038" max="12038" width="6" style="9" customWidth="1"/>
    <col min="12039" max="12048" width="3.875" style="9" customWidth="1"/>
    <col min="12049" max="12049" width="2.5" style="9" customWidth="1"/>
    <col min="12050" max="12050" width="12.375" style="9" customWidth="1"/>
    <col min="12051" max="12051" width="9.125" style="9" bestFit="1" customWidth="1"/>
    <col min="12052" max="12053" width="9" style="9"/>
    <col min="12054" max="12054" width="4.5" style="9" bestFit="1" customWidth="1"/>
    <col min="12055" max="12055" width="9" style="9"/>
    <col min="12056" max="12056" width="4.5" style="9" bestFit="1" customWidth="1"/>
    <col min="12057" max="12058" width="5.625" style="9" customWidth="1"/>
    <col min="12059" max="12059" width="9" style="9"/>
    <col min="12060" max="12060" width="5.625" style="9" customWidth="1"/>
    <col min="12061" max="12061" width="9" style="9"/>
    <col min="12062" max="12063" width="5.625" style="9" customWidth="1"/>
    <col min="12064" max="12064" width="9" style="9"/>
    <col min="12065" max="12065" width="5.625" style="9" customWidth="1"/>
    <col min="12066" max="12066" width="9" style="9"/>
    <col min="12067" max="12067" width="11.625" style="9" bestFit="1" customWidth="1"/>
    <col min="12068" max="12285" width="9" style="9"/>
    <col min="12286" max="12286" width="14.875" style="9" customWidth="1"/>
    <col min="12287" max="12289" width="3.625" style="9" customWidth="1"/>
    <col min="12290" max="12291" width="12.625" style="9" customWidth="1"/>
    <col min="12292" max="12292" width="6" style="9" customWidth="1"/>
    <col min="12293" max="12293" width="12.625" style="9" customWidth="1"/>
    <col min="12294" max="12294" width="6" style="9" customWidth="1"/>
    <col min="12295" max="12304" width="3.875" style="9" customWidth="1"/>
    <col min="12305" max="12305" width="2.5" style="9" customWidth="1"/>
    <col min="12306" max="12306" width="12.375" style="9" customWidth="1"/>
    <col min="12307" max="12307" width="9.125" style="9" bestFit="1" customWidth="1"/>
    <col min="12308" max="12309" width="9" style="9"/>
    <col min="12310" max="12310" width="4.5" style="9" bestFit="1" customWidth="1"/>
    <col min="12311" max="12311" width="9" style="9"/>
    <col min="12312" max="12312" width="4.5" style="9" bestFit="1" customWidth="1"/>
    <col min="12313" max="12314" width="5.625" style="9" customWidth="1"/>
    <col min="12315" max="12315" width="9" style="9"/>
    <col min="12316" max="12316" width="5.625" style="9" customWidth="1"/>
    <col min="12317" max="12317" width="9" style="9"/>
    <col min="12318" max="12319" width="5.625" style="9" customWidth="1"/>
    <col min="12320" max="12320" width="9" style="9"/>
    <col min="12321" max="12321" width="5.625" style="9" customWidth="1"/>
    <col min="12322" max="12322" width="9" style="9"/>
    <col min="12323" max="12323" width="11.625" style="9" bestFit="1" customWidth="1"/>
    <col min="12324" max="12541" width="9" style="9"/>
    <col min="12542" max="12542" width="14.875" style="9" customWidth="1"/>
    <col min="12543" max="12545" width="3.625" style="9" customWidth="1"/>
    <col min="12546" max="12547" width="12.625" style="9" customWidth="1"/>
    <col min="12548" max="12548" width="6" style="9" customWidth="1"/>
    <col min="12549" max="12549" width="12.625" style="9" customWidth="1"/>
    <col min="12550" max="12550" width="6" style="9" customWidth="1"/>
    <col min="12551" max="12560" width="3.875" style="9" customWidth="1"/>
    <col min="12561" max="12561" width="2.5" style="9" customWidth="1"/>
    <col min="12562" max="12562" width="12.375" style="9" customWidth="1"/>
    <col min="12563" max="12563" width="9.125" style="9" bestFit="1" customWidth="1"/>
    <col min="12564" max="12565" width="9" style="9"/>
    <col min="12566" max="12566" width="4.5" style="9" bestFit="1" customWidth="1"/>
    <col min="12567" max="12567" width="9" style="9"/>
    <col min="12568" max="12568" width="4.5" style="9" bestFit="1" customWidth="1"/>
    <col min="12569" max="12570" width="5.625" style="9" customWidth="1"/>
    <col min="12571" max="12571" width="9" style="9"/>
    <col min="12572" max="12572" width="5.625" style="9" customWidth="1"/>
    <col min="12573" max="12573" width="9" style="9"/>
    <col min="12574" max="12575" width="5.625" style="9" customWidth="1"/>
    <col min="12576" max="12576" width="9" style="9"/>
    <col min="12577" max="12577" width="5.625" style="9" customWidth="1"/>
    <col min="12578" max="12578" width="9" style="9"/>
    <col min="12579" max="12579" width="11.625" style="9" bestFit="1" customWidth="1"/>
    <col min="12580" max="12797" width="9" style="9"/>
    <col min="12798" max="12798" width="14.875" style="9" customWidth="1"/>
    <col min="12799" max="12801" width="3.625" style="9" customWidth="1"/>
    <col min="12802" max="12803" width="12.625" style="9" customWidth="1"/>
    <col min="12804" max="12804" width="6" style="9" customWidth="1"/>
    <col min="12805" max="12805" width="12.625" style="9" customWidth="1"/>
    <col min="12806" max="12806" width="6" style="9" customWidth="1"/>
    <col min="12807" max="12816" width="3.875" style="9" customWidth="1"/>
    <col min="12817" max="12817" width="2.5" style="9" customWidth="1"/>
    <col min="12818" max="12818" width="12.375" style="9" customWidth="1"/>
    <col min="12819" max="12819" width="9.125" style="9" bestFit="1" customWidth="1"/>
    <col min="12820" max="12821" width="9" style="9"/>
    <col min="12822" max="12822" width="4.5" style="9" bestFit="1" customWidth="1"/>
    <col min="12823" max="12823" width="9" style="9"/>
    <col min="12824" max="12824" width="4.5" style="9" bestFit="1" customWidth="1"/>
    <col min="12825" max="12826" width="5.625" style="9" customWidth="1"/>
    <col min="12827" max="12827" width="9" style="9"/>
    <col min="12828" max="12828" width="5.625" style="9" customWidth="1"/>
    <col min="12829" max="12829" width="9" style="9"/>
    <col min="12830" max="12831" width="5.625" style="9" customWidth="1"/>
    <col min="12832" max="12832" width="9" style="9"/>
    <col min="12833" max="12833" width="5.625" style="9" customWidth="1"/>
    <col min="12834" max="12834" width="9" style="9"/>
    <col min="12835" max="12835" width="11.625" style="9" bestFit="1" customWidth="1"/>
    <col min="12836" max="13053" width="9" style="9"/>
    <col min="13054" max="13054" width="14.875" style="9" customWidth="1"/>
    <col min="13055" max="13057" width="3.625" style="9" customWidth="1"/>
    <col min="13058" max="13059" width="12.625" style="9" customWidth="1"/>
    <col min="13060" max="13060" width="6" style="9" customWidth="1"/>
    <col min="13061" max="13061" width="12.625" style="9" customWidth="1"/>
    <col min="13062" max="13062" width="6" style="9" customWidth="1"/>
    <col min="13063" max="13072" width="3.875" style="9" customWidth="1"/>
    <col min="13073" max="13073" width="2.5" style="9" customWidth="1"/>
    <col min="13074" max="13074" width="12.375" style="9" customWidth="1"/>
    <col min="13075" max="13075" width="9.125" style="9" bestFit="1" customWidth="1"/>
    <col min="13076" max="13077" width="9" style="9"/>
    <col min="13078" max="13078" width="4.5" style="9" bestFit="1" customWidth="1"/>
    <col min="13079" max="13079" width="9" style="9"/>
    <col min="13080" max="13080" width="4.5" style="9" bestFit="1" customWidth="1"/>
    <col min="13081" max="13082" width="5.625" style="9" customWidth="1"/>
    <col min="13083" max="13083" width="9" style="9"/>
    <col min="13084" max="13084" width="5.625" style="9" customWidth="1"/>
    <col min="13085" max="13085" width="9" style="9"/>
    <col min="13086" max="13087" width="5.625" style="9" customWidth="1"/>
    <col min="13088" max="13088" width="9" style="9"/>
    <col min="13089" max="13089" width="5.625" style="9" customWidth="1"/>
    <col min="13090" max="13090" width="9" style="9"/>
    <col min="13091" max="13091" width="11.625" style="9" bestFit="1" customWidth="1"/>
    <col min="13092" max="13309" width="9" style="9"/>
    <col min="13310" max="13310" width="14.875" style="9" customWidth="1"/>
    <col min="13311" max="13313" width="3.625" style="9" customWidth="1"/>
    <col min="13314" max="13315" width="12.625" style="9" customWidth="1"/>
    <col min="13316" max="13316" width="6" style="9" customWidth="1"/>
    <col min="13317" max="13317" width="12.625" style="9" customWidth="1"/>
    <col min="13318" max="13318" width="6" style="9" customWidth="1"/>
    <col min="13319" max="13328" width="3.875" style="9" customWidth="1"/>
    <col min="13329" max="13329" width="2.5" style="9" customWidth="1"/>
    <col min="13330" max="13330" width="12.375" style="9" customWidth="1"/>
    <col min="13331" max="13331" width="9.125" style="9" bestFit="1" customWidth="1"/>
    <col min="13332" max="13333" width="9" style="9"/>
    <col min="13334" max="13334" width="4.5" style="9" bestFit="1" customWidth="1"/>
    <col min="13335" max="13335" width="9" style="9"/>
    <col min="13336" max="13336" width="4.5" style="9" bestFit="1" customWidth="1"/>
    <col min="13337" max="13338" width="5.625" style="9" customWidth="1"/>
    <col min="13339" max="13339" width="9" style="9"/>
    <col min="13340" max="13340" width="5.625" style="9" customWidth="1"/>
    <col min="13341" max="13341" width="9" style="9"/>
    <col min="13342" max="13343" width="5.625" style="9" customWidth="1"/>
    <col min="13344" max="13344" width="9" style="9"/>
    <col min="13345" max="13345" width="5.625" style="9" customWidth="1"/>
    <col min="13346" max="13346" width="9" style="9"/>
    <col min="13347" max="13347" width="11.625" style="9" bestFit="1" customWidth="1"/>
    <col min="13348" max="13565" width="9" style="9"/>
    <col min="13566" max="13566" width="14.875" style="9" customWidth="1"/>
    <col min="13567" max="13569" width="3.625" style="9" customWidth="1"/>
    <col min="13570" max="13571" width="12.625" style="9" customWidth="1"/>
    <col min="13572" max="13572" width="6" style="9" customWidth="1"/>
    <col min="13573" max="13573" width="12.625" style="9" customWidth="1"/>
    <col min="13574" max="13574" width="6" style="9" customWidth="1"/>
    <col min="13575" max="13584" width="3.875" style="9" customWidth="1"/>
    <col min="13585" max="13585" width="2.5" style="9" customWidth="1"/>
    <col min="13586" max="13586" width="12.375" style="9" customWidth="1"/>
    <col min="13587" max="13587" width="9.125" style="9" bestFit="1" customWidth="1"/>
    <col min="13588" max="13589" width="9" style="9"/>
    <col min="13590" max="13590" width="4.5" style="9" bestFit="1" customWidth="1"/>
    <col min="13591" max="13591" width="9" style="9"/>
    <col min="13592" max="13592" width="4.5" style="9" bestFit="1" customWidth="1"/>
    <col min="13593" max="13594" width="5.625" style="9" customWidth="1"/>
    <col min="13595" max="13595" width="9" style="9"/>
    <col min="13596" max="13596" width="5.625" style="9" customWidth="1"/>
    <col min="13597" max="13597" width="9" style="9"/>
    <col min="13598" max="13599" width="5.625" style="9" customWidth="1"/>
    <col min="13600" max="13600" width="9" style="9"/>
    <col min="13601" max="13601" width="5.625" style="9" customWidth="1"/>
    <col min="13602" max="13602" width="9" style="9"/>
    <col min="13603" max="13603" width="11.625" style="9" bestFit="1" customWidth="1"/>
    <col min="13604" max="13821" width="9" style="9"/>
    <col min="13822" max="13822" width="14.875" style="9" customWidth="1"/>
    <col min="13823" max="13825" width="3.625" style="9" customWidth="1"/>
    <col min="13826" max="13827" width="12.625" style="9" customWidth="1"/>
    <col min="13828" max="13828" width="6" style="9" customWidth="1"/>
    <col min="13829" max="13829" width="12.625" style="9" customWidth="1"/>
    <col min="13830" max="13830" width="6" style="9" customWidth="1"/>
    <col min="13831" max="13840" width="3.875" style="9" customWidth="1"/>
    <col min="13841" max="13841" width="2.5" style="9" customWidth="1"/>
    <col min="13842" max="13842" width="12.375" style="9" customWidth="1"/>
    <col min="13843" max="13843" width="9.125" style="9" bestFit="1" customWidth="1"/>
    <col min="13844" max="13845" width="9" style="9"/>
    <col min="13846" max="13846" width="4.5" style="9" bestFit="1" customWidth="1"/>
    <col min="13847" max="13847" width="9" style="9"/>
    <col min="13848" max="13848" width="4.5" style="9" bestFit="1" customWidth="1"/>
    <col min="13849" max="13850" width="5.625" style="9" customWidth="1"/>
    <col min="13851" max="13851" width="9" style="9"/>
    <col min="13852" max="13852" width="5.625" style="9" customWidth="1"/>
    <col min="13853" max="13853" width="9" style="9"/>
    <col min="13854" max="13855" width="5.625" style="9" customWidth="1"/>
    <col min="13856" max="13856" width="9" style="9"/>
    <col min="13857" max="13857" width="5.625" style="9" customWidth="1"/>
    <col min="13858" max="13858" width="9" style="9"/>
    <col min="13859" max="13859" width="11.625" style="9" bestFit="1" customWidth="1"/>
    <col min="13860" max="14077" width="9" style="9"/>
    <col min="14078" max="14078" width="14.875" style="9" customWidth="1"/>
    <col min="14079" max="14081" width="3.625" style="9" customWidth="1"/>
    <col min="14082" max="14083" width="12.625" style="9" customWidth="1"/>
    <col min="14084" max="14084" width="6" style="9" customWidth="1"/>
    <col min="14085" max="14085" width="12.625" style="9" customWidth="1"/>
    <col min="14086" max="14086" width="6" style="9" customWidth="1"/>
    <col min="14087" max="14096" width="3.875" style="9" customWidth="1"/>
    <col min="14097" max="14097" width="2.5" style="9" customWidth="1"/>
    <col min="14098" max="14098" width="12.375" style="9" customWidth="1"/>
    <col min="14099" max="14099" width="9.125" style="9" bestFit="1" customWidth="1"/>
    <col min="14100" max="14101" width="9" style="9"/>
    <col min="14102" max="14102" width="4.5" style="9" bestFit="1" customWidth="1"/>
    <col min="14103" max="14103" width="9" style="9"/>
    <col min="14104" max="14104" width="4.5" style="9" bestFit="1" customWidth="1"/>
    <col min="14105" max="14106" width="5.625" style="9" customWidth="1"/>
    <col min="14107" max="14107" width="9" style="9"/>
    <col min="14108" max="14108" width="5.625" style="9" customWidth="1"/>
    <col min="14109" max="14109" width="9" style="9"/>
    <col min="14110" max="14111" width="5.625" style="9" customWidth="1"/>
    <col min="14112" max="14112" width="9" style="9"/>
    <col min="14113" max="14113" width="5.625" style="9" customWidth="1"/>
    <col min="14114" max="14114" width="9" style="9"/>
    <col min="14115" max="14115" width="11.625" style="9" bestFit="1" customWidth="1"/>
    <col min="14116" max="14333" width="9" style="9"/>
    <col min="14334" max="14334" width="14.875" style="9" customWidth="1"/>
    <col min="14335" max="14337" width="3.625" style="9" customWidth="1"/>
    <col min="14338" max="14339" width="12.625" style="9" customWidth="1"/>
    <col min="14340" max="14340" width="6" style="9" customWidth="1"/>
    <col min="14341" max="14341" width="12.625" style="9" customWidth="1"/>
    <col min="14342" max="14342" width="6" style="9" customWidth="1"/>
    <col min="14343" max="14352" width="3.875" style="9" customWidth="1"/>
    <col min="14353" max="14353" width="2.5" style="9" customWidth="1"/>
    <col min="14354" max="14354" width="12.375" style="9" customWidth="1"/>
    <col min="14355" max="14355" width="9.125" style="9" bestFit="1" customWidth="1"/>
    <col min="14356" max="14357" width="9" style="9"/>
    <col min="14358" max="14358" width="4.5" style="9" bestFit="1" customWidth="1"/>
    <col min="14359" max="14359" width="9" style="9"/>
    <col min="14360" max="14360" width="4.5" style="9" bestFit="1" customWidth="1"/>
    <col min="14361" max="14362" width="5.625" style="9" customWidth="1"/>
    <col min="14363" max="14363" width="9" style="9"/>
    <col min="14364" max="14364" width="5.625" style="9" customWidth="1"/>
    <col min="14365" max="14365" width="9" style="9"/>
    <col min="14366" max="14367" width="5.625" style="9" customWidth="1"/>
    <col min="14368" max="14368" width="9" style="9"/>
    <col min="14369" max="14369" width="5.625" style="9" customWidth="1"/>
    <col min="14370" max="14370" width="9" style="9"/>
    <col min="14371" max="14371" width="11.625" style="9" bestFit="1" customWidth="1"/>
    <col min="14372" max="14589" width="9" style="9"/>
    <col min="14590" max="14590" width="14.875" style="9" customWidth="1"/>
    <col min="14591" max="14593" width="3.625" style="9" customWidth="1"/>
    <col min="14594" max="14595" width="12.625" style="9" customWidth="1"/>
    <col min="14596" max="14596" width="6" style="9" customWidth="1"/>
    <col min="14597" max="14597" width="12.625" style="9" customWidth="1"/>
    <col min="14598" max="14598" width="6" style="9" customWidth="1"/>
    <col min="14599" max="14608" width="3.875" style="9" customWidth="1"/>
    <col min="14609" max="14609" width="2.5" style="9" customWidth="1"/>
    <col min="14610" max="14610" width="12.375" style="9" customWidth="1"/>
    <col min="14611" max="14611" width="9.125" style="9" bestFit="1" customWidth="1"/>
    <col min="14612" max="14613" width="9" style="9"/>
    <col min="14614" max="14614" width="4.5" style="9" bestFit="1" customWidth="1"/>
    <col min="14615" max="14615" width="9" style="9"/>
    <col min="14616" max="14616" width="4.5" style="9" bestFit="1" customWidth="1"/>
    <col min="14617" max="14618" width="5.625" style="9" customWidth="1"/>
    <col min="14619" max="14619" width="9" style="9"/>
    <col min="14620" max="14620" width="5.625" style="9" customWidth="1"/>
    <col min="14621" max="14621" width="9" style="9"/>
    <col min="14622" max="14623" width="5.625" style="9" customWidth="1"/>
    <col min="14624" max="14624" width="9" style="9"/>
    <col min="14625" max="14625" width="5.625" style="9" customWidth="1"/>
    <col min="14626" max="14626" width="9" style="9"/>
    <col min="14627" max="14627" width="11.625" style="9" bestFit="1" customWidth="1"/>
    <col min="14628" max="14845" width="9" style="9"/>
    <col min="14846" max="14846" width="14.875" style="9" customWidth="1"/>
    <col min="14847" max="14849" width="3.625" style="9" customWidth="1"/>
    <col min="14850" max="14851" width="12.625" style="9" customWidth="1"/>
    <col min="14852" max="14852" width="6" style="9" customWidth="1"/>
    <col min="14853" max="14853" width="12.625" style="9" customWidth="1"/>
    <col min="14854" max="14854" width="6" style="9" customWidth="1"/>
    <col min="14855" max="14864" width="3.875" style="9" customWidth="1"/>
    <col min="14865" max="14865" width="2.5" style="9" customWidth="1"/>
    <col min="14866" max="14866" width="12.375" style="9" customWidth="1"/>
    <col min="14867" max="14867" width="9.125" style="9" bestFit="1" customWidth="1"/>
    <col min="14868" max="14869" width="9" style="9"/>
    <col min="14870" max="14870" width="4.5" style="9" bestFit="1" customWidth="1"/>
    <col min="14871" max="14871" width="9" style="9"/>
    <col min="14872" max="14872" width="4.5" style="9" bestFit="1" customWidth="1"/>
    <col min="14873" max="14874" width="5.625" style="9" customWidth="1"/>
    <col min="14875" max="14875" width="9" style="9"/>
    <col min="14876" max="14876" width="5.625" style="9" customWidth="1"/>
    <col min="14877" max="14877" width="9" style="9"/>
    <col min="14878" max="14879" width="5.625" style="9" customWidth="1"/>
    <col min="14880" max="14880" width="9" style="9"/>
    <col min="14881" max="14881" width="5.625" style="9" customWidth="1"/>
    <col min="14882" max="14882" width="9" style="9"/>
    <col min="14883" max="14883" width="11.625" style="9" bestFit="1" customWidth="1"/>
    <col min="14884" max="15101" width="9" style="9"/>
    <col min="15102" max="15102" width="14.875" style="9" customWidth="1"/>
    <col min="15103" max="15105" width="3.625" style="9" customWidth="1"/>
    <col min="15106" max="15107" width="12.625" style="9" customWidth="1"/>
    <col min="15108" max="15108" width="6" style="9" customWidth="1"/>
    <col min="15109" max="15109" width="12.625" style="9" customWidth="1"/>
    <col min="15110" max="15110" width="6" style="9" customWidth="1"/>
    <col min="15111" max="15120" width="3.875" style="9" customWidth="1"/>
    <col min="15121" max="15121" width="2.5" style="9" customWidth="1"/>
    <col min="15122" max="15122" width="12.375" style="9" customWidth="1"/>
    <col min="15123" max="15123" width="9.125" style="9" bestFit="1" customWidth="1"/>
    <col min="15124" max="15125" width="9" style="9"/>
    <col min="15126" max="15126" width="4.5" style="9" bestFit="1" customWidth="1"/>
    <col min="15127" max="15127" width="9" style="9"/>
    <col min="15128" max="15128" width="4.5" style="9" bestFit="1" customWidth="1"/>
    <col min="15129" max="15130" width="5.625" style="9" customWidth="1"/>
    <col min="15131" max="15131" width="9" style="9"/>
    <col min="15132" max="15132" width="5.625" style="9" customWidth="1"/>
    <col min="15133" max="15133" width="9" style="9"/>
    <col min="15134" max="15135" width="5.625" style="9" customWidth="1"/>
    <col min="15136" max="15136" width="9" style="9"/>
    <col min="15137" max="15137" width="5.625" style="9" customWidth="1"/>
    <col min="15138" max="15138" width="9" style="9"/>
    <col min="15139" max="15139" width="11.625" style="9" bestFit="1" customWidth="1"/>
    <col min="15140" max="15357" width="9" style="9"/>
    <col min="15358" max="15358" width="14.875" style="9" customWidth="1"/>
    <col min="15359" max="15361" width="3.625" style="9" customWidth="1"/>
    <col min="15362" max="15363" width="12.625" style="9" customWidth="1"/>
    <col min="15364" max="15364" width="6" style="9" customWidth="1"/>
    <col min="15365" max="15365" width="12.625" style="9" customWidth="1"/>
    <col min="15366" max="15366" width="6" style="9" customWidth="1"/>
    <col min="15367" max="15376" width="3.875" style="9" customWidth="1"/>
    <col min="15377" max="15377" width="2.5" style="9" customWidth="1"/>
    <col min="15378" max="15378" width="12.375" style="9" customWidth="1"/>
    <col min="15379" max="15379" width="9.125" style="9" bestFit="1" customWidth="1"/>
    <col min="15380" max="15381" width="9" style="9"/>
    <col min="15382" max="15382" width="4.5" style="9" bestFit="1" customWidth="1"/>
    <col min="15383" max="15383" width="9" style="9"/>
    <col min="15384" max="15384" width="4.5" style="9" bestFit="1" customWidth="1"/>
    <col min="15385" max="15386" width="5.625" style="9" customWidth="1"/>
    <col min="15387" max="15387" width="9" style="9"/>
    <col min="15388" max="15388" width="5.625" style="9" customWidth="1"/>
    <col min="15389" max="15389" width="9" style="9"/>
    <col min="15390" max="15391" width="5.625" style="9" customWidth="1"/>
    <col min="15392" max="15392" width="9" style="9"/>
    <col min="15393" max="15393" width="5.625" style="9" customWidth="1"/>
    <col min="15394" max="15394" width="9" style="9"/>
    <col min="15395" max="15395" width="11.625" style="9" bestFit="1" customWidth="1"/>
    <col min="15396" max="15613" width="9" style="9"/>
    <col min="15614" max="15614" width="14.875" style="9" customWidth="1"/>
    <col min="15615" max="15617" width="3.625" style="9" customWidth="1"/>
    <col min="15618" max="15619" width="12.625" style="9" customWidth="1"/>
    <col min="15620" max="15620" width="6" style="9" customWidth="1"/>
    <col min="15621" max="15621" width="12.625" style="9" customWidth="1"/>
    <col min="15622" max="15622" width="6" style="9" customWidth="1"/>
    <col min="15623" max="15632" width="3.875" style="9" customWidth="1"/>
    <col min="15633" max="15633" width="2.5" style="9" customWidth="1"/>
    <col min="15634" max="15634" width="12.375" style="9" customWidth="1"/>
    <col min="15635" max="15635" width="9.125" style="9" bestFit="1" customWidth="1"/>
    <col min="15636" max="15637" width="9" style="9"/>
    <col min="15638" max="15638" width="4.5" style="9" bestFit="1" customWidth="1"/>
    <col min="15639" max="15639" width="9" style="9"/>
    <col min="15640" max="15640" width="4.5" style="9" bestFit="1" customWidth="1"/>
    <col min="15641" max="15642" width="5.625" style="9" customWidth="1"/>
    <col min="15643" max="15643" width="9" style="9"/>
    <col min="15644" max="15644" width="5.625" style="9" customWidth="1"/>
    <col min="15645" max="15645" width="9" style="9"/>
    <col min="15646" max="15647" width="5.625" style="9" customWidth="1"/>
    <col min="15648" max="15648" width="9" style="9"/>
    <col min="15649" max="15649" width="5.625" style="9" customWidth="1"/>
    <col min="15650" max="15650" width="9" style="9"/>
    <col min="15651" max="15651" width="11.625" style="9" bestFit="1" customWidth="1"/>
    <col min="15652" max="15869" width="9" style="9"/>
    <col min="15870" max="15870" width="14.875" style="9" customWidth="1"/>
    <col min="15871" max="15873" width="3.625" style="9" customWidth="1"/>
    <col min="15874" max="15875" width="12.625" style="9" customWidth="1"/>
    <col min="15876" max="15876" width="6" style="9" customWidth="1"/>
    <col min="15877" max="15877" width="12.625" style="9" customWidth="1"/>
    <col min="15878" max="15878" width="6" style="9" customWidth="1"/>
    <col min="15879" max="15888" width="3.875" style="9" customWidth="1"/>
    <col min="15889" max="15889" width="2.5" style="9" customWidth="1"/>
    <col min="15890" max="15890" width="12.375" style="9" customWidth="1"/>
    <col min="15891" max="15891" width="9.125" style="9" bestFit="1" customWidth="1"/>
    <col min="15892" max="15893" width="9" style="9"/>
    <col min="15894" max="15894" width="4.5" style="9" bestFit="1" customWidth="1"/>
    <col min="15895" max="15895" width="9" style="9"/>
    <col min="15896" max="15896" width="4.5" style="9" bestFit="1" customWidth="1"/>
    <col min="15897" max="15898" width="5.625" style="9" customWidth="1"/>
    <col min="15899" max="15899" width="9" style="9"/>
    <col min="15900" max="15900" width="5.625" style="9" customWidth="1"/>
    <col min="15901" max="15901" width="9" style="9"/>
    <col min="15902" max="15903" width="5.625" style="9" customWidth="1"/>
    <col min="15904" max="15904" width="9" style="9"/>
    <col min="15905" max="15905" width="5.625" style="9" customWidth="1"/>
    <col min="15906" max="15906" width="9" style="9"/>
    <col min="15907" max="15907" width="11.625" style="9" bestFit="1" customWidth="1"/>
    <col min="15908" max="16125" width="9" style="9"/>
    <col min="16126" max="16126" width="14.875" style="9" customWidth="1"/>
    <col min="16127" max="16129" width="3.625" style="9" customWidth="1"/>
    <col min="16130" max="16131" width="12.625" style="9" customWidth="1"/>
    <col min="16132" max="16132" width="6" style="9" customWidth="1"/>
    <col min="16133" max="16133" width="12.625" style="9" customWidth="1"/>
    <col min="16134" max="16134" width="6" style="9" customWidth="1"/>
    <col min="16135" max="16144" width="3.875" style="9" customWidth="1"/>
    <col min="16145" max="16145" width="2.5" style="9" customWidth="1"/>
    <col min="16146" max="16146" width="12.375" style="9" customWidth="1"/>
    <col min="16147" max="16147" width="9.125" style="9" bestFit="1" customWidth="1"/>
    <col min="16148" max="16149" width="9" style="9"/>
    <col min="16150" max="16150" width="4.5" style="9" bestFit="1" customWidth="1"/>
    <col min="16151" max="16151" width="9" style="9"/>
    <col min="16152" max="16152" width="4.5" style="9" bestFit="1" customWidth="1"/>
    <col min="16153" max="16154" width="5.625" style="9" customWidth="1"/>
    <col min="16155" max="16155" width="9" style="9"/>
    <col min="16156" max="16156" width="5.625" style="9" customWidth="1"/>
    <col min="16157" max="16157" width="9" style="9"/>
    <col min="16158" max="16159" width="5.625" style="9" customWidth="1"/>
    <col min="16160" max="16160" width="9" style="9"/>
    <col min="16161" max="16161" width="5.625" style="9" customWidth="1"/>
    <col min="16162" max="16162" width="9" style="9"/>
    <col min="16163" max="16163" width="11.625" style="9" bestFit="1" customWidth="1"/>
    <col min="16164" max="16384" width="9" style="9"/>
  </cols>
  <sheetData>
    <row r="1" spans="1:22" ht="15.75" customHeight="1"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9" t="s">
        <v>20</v>
      </c>
      <c r="Q1" s="279"/>
      <c r="R1" s="279"/>
      <c r="S1" s="279"/>
      <c r="T1" s="10">
        <f>COUNTA(總表!$D$5:$D$37)</f>
        <v>22</v>
      </c>
    </row>
    <row r="2" spans="1:22" ht="15.75" customHeight="1">
      <c r="B2" s="280" t="s">
        <v>11</v>
      </c>
      <c r="C2" s="280"/>
      <c r="D2" s="280"/>
      <c r="E2" s="280"/>
      <c r="F2" s="280"/>
      <c r="G2" s="280" t="s">
        <v>1191</v>
      </c>
      <c r="H2" s="280"/>
      <c r="I2" s="280"/>
      <c r="J2" s="280"/>
      <c r="K2" s="280"/>
      <c r="L2" s="280"/>
      <c r="M2" s="280"/>
      <c r="N2" s="280"/>
      <c r="O2" s="280"/>
      <c r="P2" s="281" t="s">
        <v>21</v>
      </c>
      <c r="Q2" s="281"/>
      <c r="R2" s="281"/>
      <c r="S2" s="281"/>
      <c r="T2" s="10">
        <f>COUNTA(總表!D24:D30)</f>
        <v>6</v>
      </c>
      <c r="U2" s="11"/>
    </row>
    <row r="3" spans="1:22" ht="14.25" customHeight="1">
      <c r="A3" s="10"/>
      <c r="B3" s="282" t="s">
        <v>22</v>
      </c>
      <c r="C3" s="282" t="s">
        <v>23</v>
      </c>
      <c r="D3" s="282" t="s">
        <v>24</v>
      </c>
      <c r="E3" s="65"/>
      <c r="F3" s="285" t="s">
        <v>25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  <c r="S3" s="288" t="s">
        <v>26</v>
      </c>
      <c r="T3" s="289"/>
      <c r="U3" s="11"/>
    </row>
    <row r="4" spans="1:22" ht="14.25" customHeight="1">
      <c r="B4" s="283"/>
      <c r="C4" s="283"/>
      <c r="D4" s="283"/>
      <c r="E4" s="61"/>
      <c r="F4" s="272" t="s">
        <v>27</v>
      </c>
      <c r="G4" s="278" t="s">
        <v>28</v>
      </c>
      <c r="H4" s="282" t="s">
        <v>29</v>
      </c>
      <c r="I4" s="278" t="s">
        <v>28</v>
      </c>
      <c r="J4" s="282" t="s">
        <v>29</v>
      </c>
      <c r="K4" s="286" t="s">
        <v>30</v>
      </c>
      <c r="L4" s="286"/>
      <c r="M4" s="286"/>
      <c r="N4" s="286"/>
      <c r="O4" s="286"/>
      <c r="P4" s="286"/>
      <c r="Q4" s="286"/>
      <c r="R4" s="287"/>
      <c r="S4" s="290"/>
      <c r="T4" s="291"/>
      <c r="U4" s="11"/>
    </row>
    <row r="5" spans="1:22" ht="14.25" customHeight="1">
      <c r="A5" s="10"/>
      <c r="B5" s="283"/>
      <c r="C5" s="283"/>
      <c r="D5" s="283"/>
      <c r="E5" s="61"/>
      <c r="F5" s="272"/>
      <c r="G5" s="278"/>
      <c r="H5" s="283"/>
      <c r="I5" s="278"/>
      <c r="J5" s="283"/>
      <c r="K5" s="282" t="s">
        <v>31</v>
      </c>
      <c r="L5" s="282" t="s">
        <v>32</v>
      </c>
      <c r="M5" s="282" t="s">
        <v>33</v>
      </c>
      <c r="N5" s="282" t="s">
        <v>34</v>
      </c>
      <c r="O5" s="282" t="s">
        <v>35</v>
      </c>
      <c r="P5" s="294" t="s">
        <v>36</v>
      </c>
      <c r="Q5" s="294" t="s">
        <v>37</v>
      </c>
      <c r="R5" s="297" t="s">
        <v>38</v>
      </c>
      <c r="S5" s="290"/>
      <c r="T5" s="291"/>
      <c r="U5" s="11"/>
    </row>
    <row r="6" spans="1:22" ht="14.25" customHeight="1">
      <c r="A6" s="10" t="s">
        <v>1232</v>
      </c>
      <c r="B6" s="283"/>
      <c r="C6" s="283"/>
      <c r="D6" s="283"/>
      <c r="E6" s="61"/>
      <c r="F6" s="272"/>
      <c r="G6" s="278"/>
      <c r="H6" s="283"/>
      <c r="I6" s="278"/>
      <c r="J6" s="283"/>
      <c r="K6" s="283"/>
      <c r="L6" s="283"/>
      <c r="M6" s="283"/>
      <c r="N6" s="283"/>
      <c r="O6" s="283"/>
      <c r="P6" s="295"/>
      <c r="Q6" s="295"/>
      <c r="R6" s="297"/>
      <c r="S6" s="290"/>
      <c r="T6" s="291"/>
      <c r="U6" s="11"/>
    </row>
    <row r="7" spans="1:22" ht="14.25" customHeight="1">
      <c r="A7" s="9" t="s">
        <v>1233</v>
      </c>
      <c r="B7" s="284"/>
      <c r="C7" s="284"/>
      <c r="D7" s="284"/>
      <c r="E7" s="62"/>
      <c r="F7" s="273"/>
      <c r="G7" s="271"/>
      <c r="H7" s="284"/>
      <c r="I7" s="278"/>
      <c r="J7" s="284"/>
      <c r="K7" s="284"/>
      <c r="L7" s="284"/>
      <c r="M7" s="284"/>
      <c r="N7" s="284"/>
      <c r="O7" s="284"/>
      <c r="P7" s="296"/>
      <c r="Q7" s="296"/>
      <c r="R7" s="297"/>
      <c r="S7" s="292"/>
      <c r="T7" s="293"/>
      <c r="U7" s="11"/>
    </row>
    <row r="8" spans="1:22" ht="14.25" customHeight="1">
      <c r="B8" s="314">
        <f>DATE(YEAR(第三周!B56),MONTH(第三周!B56),DAY(第三周!B56)+3)</f>
        <v>45278</v>
      </c>
      <c r="C8" s="315" t="s">
        <v>39</v>
      </c>
      <c r="D8" s="315" t="s">
        <v>40</v>
      </c>
      <c r="E8" s="73">
        <v>1</v>
      </c>
      <c r="F8" s="271" t="str">
        <f>LEFT(總表!$D24,IF(F11=0,LEN(總表!$D24)+3,LEN(總表!$D24)-3))</f>
        <v>雞絲麵</v>
      </c>
      <c r="G8" s="21" t="str">
        <f>IFERROR(IF(VLOOKUP($E8&amp;+$F$8,依據!$A:$C,3,FALSE)=0,"",VLOOKUP($E8&amp;+$F$8,依據!$A:$C,3,FALSE)),"")</f>
        <v>雞絲麵</v>
      </c>
      <c r="H8" s="21" t="str">
        <f>IFERROR(IF(VLOOKUP($E8&amp;+$F$8,依據!$A:$D,4,FALSE)=0,"",(VLOOKUP($E8&amp;+$F$8,依據!$A:$D,4,FALSE))),"")</f>
        <v>4包</v>
      </c>
      <c r="I8" s="20" t="str">
        <f>IFERROR(IF(VLOOKUP($E8&amp;+$F$8,依據!$A:$E,5,FALSE)=0,"",VLOOKUP($E8&amp;+$F$8,依據!$A:$E,5,FALSE)),"")</f>
        <v>黑木耳</v>
      </c>
      <c r="J8" s="34">
        <f>IFERROR(IF(VLOOKUP($E8&amp;+$F$8,依據!$A:$F,6,FALSE)=0,"",(VLOOKUP($E8&amp;+$F$8,依據!$A:$F,6,FALSE))),"")</f>
        <v>0.2</v>
      </c>
      <c r="K8" s="274">
        <f>IF($F8="不供餐","",IFERROR(VLOOKUP($F8,依據!$B:L,11,FALSE),0)+IFERROR(VLOOKUP($F11,依據!$B:L,11,FALSE),0))</f>
        <v>0.88000000000000012</v>
      </c>
      <c r="L8" s="277">
        <f>IF($F8="不供餐","",IFERROR(VLOOKUP($F8,依據!$B:M,12,FALSE),0)+IFERROR(VLOOKUP($F11,依據!$B:M,12,FALSE),0))</f>
        <v>0.32</v>
      </c>
      <c r="M8" s="277">
        <f>IF($F8="不供餐","",IFERROR(VLOOKUP($F8,依據!$B:N,13,FALSE),0)+IFERROR(VLOOKUP($F11,依據!$B:N,13,FALSE),0))</f>
        <v>0</v>
      </c>
      <c r="N8" s="298">
        <f>IF($F8="不供餐","",IFERROR(VLOOKUP($F8,依據!$B:O,14,FALSE),0)+IFERROR(VLOOKUP($F11,依據!$B:O,14,FALSE),0))</f>
        <v>0.24000000000000002</v>
      </c>
      <c r="O8" s="277">
        <f>IF($F8="不供餐","",IFERROR(VLOOKUP($F8,依據!$B:P,15,FALSE),0)+IFERROR(VLOOKUP($F11,依據!$B:P,15,FALSE),0))</f>
        <v>1.04</v>
      </c>
      <c r="P8" s="277">
        <f>IF($F8="不供餐","",IFERROR(VLOOKUP($F8,依據!$B:Q,16,FALSE),0)+IFERROR(VLOOKUP($F11,依據!$B:Q,16,FALSE),0))</f>
        <v>0</v>
      </c>
      <c r="Q8" s="277">
        <f>IF($F8="不供餐","",IFERROR(VLOOKUP($F8,依據!$B:R,17,FALSE),0)+IFERROR(VLOOKUP($F11,依據!$B:R,17,FALSE),0))</f>
        <v>0</v>
      </c>
      <c r="R8" s="301">
        <f>IF($F8="不供餐","",SUM(K8*70+L8*75+M8*120+N8*25+O8*60+P8*45+Q8*4))</f>
        <v>154</v>
      </c>
      <c r="S8" s="303" t="str">
        <f>_xlfn.IFS(COUNTIF($F11,"水果")=1,"水果1種",(COUNTIF($F11,"水果"))=0,"")</f>
        <v>水果1種</v>
      </c>
      <c r="T8" s="291"/>
      <c r="U8" s="11"/>
    </row>
    <row r="9" spans="1:22" ht="14.25" customHeight="1">
      <c r="B9" s="267"/>
      <c r="C9" s="230"/>
      <c r="D9" s="230"/>
      <c r="E9" s="63">
        <v>2</v>
      </c>
      <c r="F9" s="272"/>
      <c r="G9" s="22" t="str">
        <f>IFERROR(IF(VLOOKUP($E9&amp;+$F$8,依據!$A:$C,3,FALSE)=0,"",VLOOKUP($E9&amp;+$F$8,依據!$A:$C,3,FALSE)),"")</f>
        <v>貢丸</v>
      </c>
      <c r="H9" s="22">
        <f>IFERROR(IF(VLOOKUP($E9&amp;+$F$8,依據!$A:$D,4,FALSE)=0,"",(VLOOKUP($E9&amp;+$F$8,依據!$A:$D,4,FALSE))),"")</f>
        <v>0.8</v>
      </c>
      <c r="I9" s="23" t="str">
        <f>IFERROR(IF(VLOOKUP($E9&amp;+$F$8,依據!$A:$E,5,FALSE)=0,"",VLOOKUP($E9&amp;+$F$8,依據!$A:$E,5,FALSE)),"")</f>
        <v>紅蘿蔔</v>
      </c>
      <c r="J9" s="36">
        <f>IFERROR(IF(VLOOKUP($E9&amp;+$F$8,依據!$A:$F,6,FALSE)=0,"",(VLOOKUP($E9&amp;+$F$8,依據!$A:$F,6,FALSE))),"")</f>
        <v>0.2</v>
      </c>
      <c r="K9" s="275"/>
      <c r="L9" s="275"/>
      <c r="M9" s="275"/>
      <c r="N9" s="299"/>
      <c r="O9" s="275"/>
      <c r="P9" s="275"/>
      <c r="Q9" s="275"/>
      <c r="R9" s="302"/>
      <c r="S9" s="303"/>
      <c r="T9" s="291"/>
      <c r="U9" s="11"/>
    </row>
    <row r="10" spans="1:22" ht="14.25" customHeight="1">
      <c r="B10" s="267"/>
      <c r="C10" s="230"/>
      <c r="D10" s="230"/>
      <c r="E10" s="63">
        <v>3</v>
      </c>
      <c r="F10" s="273"/>
      <c r="G10" s="24" t="str">
        <f>IFERROR(IF(VLOOKUP($E10&amp;+$F$8,依據!$A:$C,3,FALSE)=0,"",VLOOKUP($E10&amp;+$F$8,依據!$A:$C,3,FALSE)),"")</f>
        <v>小白菜</v>
      </c>
      <c r="H10" s="24">
        <f>IFERROR(IF(VLOOKUP($E10&amp;+$F$8,依據!$A:$D,4,FALSE)=0,"",(VLOOKUP($E10&amp;+$F$8,依據!$A:$D,4,FALSE))),"")</f>
        <v>0.8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5"/>
      <c r="L10" s="275"/>
      <c r="M10" s="275"/>
      <c r="N10" s="299"/>
      <c r="O10" s="275"/>
      <c r="P10" s="275"/>
      <c r="Q10" s="275"/>
      <c r="R10" s="302"/>
      <c r="S10" s="303"/>
      <c r="T10" s="291"/>
      <c r="U10" s="11"/>
      <c r="V10" s="16"/>
    </row>
    <row r="11" spans="1:22" ht="14.25" customHeight="1">
      <c r="B11" s="267"/>
      <c r="C11" s="230"/>
      <c r="D11" s="230"/>
      <c r="E11" s="63">
        <v>1</v>
      </c>
      <c r="F11" s="316" t="str">
        <f>IFERROR(IF(FIND("+水果",總表!$D24)&gt;0,"水果",""),0)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1249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5"/>
      <c r="L11" s="275"/>
      <c r="M11" s="275"/>
      <c r="N11" s="299"/>
      <c r="O11" s="275"/>
      <c r="P11" s="275"/>
      <c r="Q11" s="275"/>
      <c r="R11" s="302"/>
      <c r="S11" s="303"/>
      <c r="T11" s="291"/>
    </row>
    <row r="12" spans="1:22" ht="14.25" customHeight="1">
      <c r="B12" s="267"/>
      <c r="C12" s="230"/>
      <c r="D12" s="230"/>
      <c r="E12" s="63">
        <v>2</v>
      </c>
      <c r="F12" s="306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5"/>
      <c r="L12" s="275"/>
      <c r="M12" s="275"/>
      <c r="N12" s="299"/>
      <c r="O12" s="275"/>
      <c r="P12" s="275"/>
      <c r="Q12" s="275"/>
      <c r="R12" s="302"/>
      <c r="S12" s="303"/>
      <c r="T12" s="291"/>
      <c r="V12" s="16"/>
    </row>
    <row r="13" spans="1:22" ht="14.25" customHeight="1">
      <c r="B13" s="267"/>
      <c r="C13" s="230"/>
      <c r="D13" s="270"/>
      <c r="E13" s="64">
        <v>3</v>
      </c>
      <c r="F13" s="307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6"/>
      <c r="L13" s="276"/>
      <c r="M13" s="276"/>
      <c r="N13" s="300"/>
      <c r="O13" s="276"/>
      <c r="P13" s="276"/>
      <c r="Q13" s="276"/>
      <c r="R13" s="302"/>
      <c r="S13" s="304"/>
      <c r="T13" s="293"/>
    </row>
    <row r="14" spans="1:22" ht="14.25" customHeight="1">
      <c r="B14" s="267"/>
      <c r="C14" s="230"/>
      <c r="D14" s="230" t="s">
        <v>41</v>
      </c>
      <c r="E14" s="73">
        <v>1</v>
      </c>
      <c r="F14" s="308" t="str">
        <f>IFERROR(LEFT(總表!$E24,FIND("+",總表!$E24)-1),總表!$E24)</f>
        <v>紫菜蛋花湯</v>
      </c>
      <c r="G14" s="21" t="str">
        <f>IFERROR(IF(VLOOKUP($E14&amp;+$F$14,依據!$A:$C,3,FALSE)=0,"",VLOOKUP($E14&amp;+$F$14,依據!$A:$C,3,FALSE)),"")</f>
        <v>紫菜</v>
      </c>
      <c r="H14" s="21">
        <f>IFERROR(IF(VLOOKUP($E14&amp;+$F$14,依據!$A:$D,4,FALSE)=0,"",(VLOOKUP($E14&amp;+$F$14,依據!$A:$D,4,FALSE))),"")</f>
        <v>0.1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74">
        <f>IF($F14="不供餐","",IFERROR(VLOOKUP($F14,依據!$B:L,11,FALSE),0)+IFERROR(VLOOKUP($F17,依據!$B:L,11,FALSE),0))</f>
        <v>0</v>
      </c>
      <c r="L14" s="277">
        <f>IF($F14="不供餐","",IFERROR(VLOOKUP($F14,依據!$B:M,12,FALSE),0)+IFERROR(VLOOKUP($F17,依據!$B:M,12,FALSE),0))</f>
        <v>0.18461538461538463</v>
      </c>
      <c r="M14" s="277">
        <f>IF($F14="不供餐","",IFERROR(VLOOKUP($F14,依據!$B:N,13,FALSE),0)+IFERROR(VLOOKUP($F17,依據!$B:N,13,FALSE),0))</f>
        <v>0</v>
      </c>
      <c r="N14" s="298">
        <f>IF($F14="不供餐","",IFERROR(VLOOKUP($F14,依據!$B:O,14,FALSE),0)+IFERROR(VLOOKUP($F17,依據!$B:O,14,FALSE),0))</f>
        <v>0.02</v>
      </c>
      <c r="O14" s="277">
        <f>IF($F14="不供餐","",IFERROR(VLOOKUP($F14,依據!$B:P,15,FALSE),0)+IFERROR(VLOOKUP($F17,依據!$B:P,15,FALSE),0))</f>
        <v>0</v>
      </c>
      <c r="P14" s="277">
        <f>IF($F14="不供餐","",IFERROR(VLOOKUP($F14,依據!$B:Q,16,FALSE),0)+IFERROR(VLOOKUP($F17,依據!$B:Q,16,FALSE),0))</f>
        <v>0</v>
      </c>
      <c r="Q14" s="277">
        <f>IF($F14="不供餐","",IFERROR(VLOOKUP($F14,依據!$B:R,17,FALSE),0)+IFERROR(VLOOKUP($F17,依據!$B:R,17,FALSE),0))</f>
        <v>0</v>
      </c>
      <c r="R14" s="301">
        <f>IF($F14="不供餐","",SUM(K14*70+L14*75+M14*120+N14*25+O14*60+P14*45+Q14*4))</f>
        <v>14.346153846153847</v>
      </c>
      <c r="S14" s="303" t="str">
        <f>_xlfn.IFS(COUNTIF($F14,"水果拼盤")=1,"水果3種",(COUNTIF($F14,"水果拼盤"))=0,"")</f>
        <v/>
      </c>
      <c r="T14" s="291"/>
    </row>
    <row r="15" spans="1:22" ht="14.25" customHeight="1">
      <c r="B15" s="267"/>
      <c r="C15" s="230"/>
      <c r="D15" s="230"/>
      <c r="E15" s="63">
        <v>2</v>
      </c>
      <c r="F15" s="309"/>
      <c r="G15" s="22" t="str">
        <f>IFERROR(IF(VLOOKUP($E15&amp;+$F$14,依據!$A:$C,3,FALSE)=0,"",VLOOKUP($E15&amp;+$F$14,依據!$A:$C,3,FALSE)),"")</f>
        <v>雞蛋</v>
      </c>
      <c r="H15" s="22">
        <f>IFERROR(IF(VLOOKUP($E15&amp;+$F$14,依據!$A:$D,4,FALSE)=0,"",(VLOOKUP($E15&amp;+$F$14,依據!$A:$D,4,FALSE))),"")</f>
        <v>0.6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5"/>
      <c r="L15" s="275"/>
      <c r="M15" s="275"/>
      <c r="N15" s="299"/>
      <c r="O15" s="275"/>
      <c r="P15" s="275"/>
      <c r="Q15" s="275"/>
      <c r="R15" s="302"/>
      <c r="S15" s="303"/>
      <c r="T15" s="291"/>
    </row>
    <row r="16" spans="1:22" ht="14.25" customHeight="1">
      <c r="B16" s="267"/>
      <c r="C16" s="230"/>
      <c r="D16" s="230"/>
      <c r="E16" s="63">
        <v>3</v>
      </c>
      <c r="F16" s="310"/>
      <c r="G16" s="24" t="str">
        <f>IFERROR(IF(VLOOKUP($E16&amp;+$F$14,依據!$A:$C,3,FALSE)=0,"",VLOOKUP($E16&amp;+$F$14,依據!$A:$C,3,FALSE)),"")</f>
        <v>嫩薑絲</v>
      </c>
      <c r="H16" s="24">
        <f>IFERROR(IF(VLOOKUP($E16&amp;+$F$14,依據!$A:$D,4,FALSE)=0,"",(VLOOKUP($E16&amp;+$F$14,依據!$A:$D,4,FALSE))),"")</f>
        <v>0.1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5"/>
      <c r="L16" s="275"/>
      <c r="M16" s="275"/>
      <c r="N16" s="299"/>
      <c r="O16" s="275"/>
      <c r="P16" s="275"/>
      <c r="Q16" s="275"/>
      <c r="R16" s="302"/>
      <c r="S16" s="303"/>
      <c r="T16" s="291"/>
    </row>
    <row r="17" spans="1:20" ht="14.25" customHeight="1">
      <c r="B17" s="267"/>
      <c r="C17" s="230"/>
      <c r="D17" s="230"/>
      <c r="E17" s="63">
        <v>1</v>
      </c>
      <c r="F17" s="311">
        <f>IFERROR(IF(FIND("+",總表!$E24)&gt;0,RIGHT(總表!$E24,LEN(總表!$E24)-FIND("+",總表!$E24)),""),0)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5"/>
      <c r="L17" s="275"/>
      <c r="M17" s="275"/>
      <c r="N17" s="299"/>
      <c r="O17" s="275"/>
      <c r="P17" s="275"/>
      <c r="Q17" s="275"/>
      <c r="R17" s="302"/>
      <c r="S17" s="303"/>
      <c r="T17" s="291"/>
    </row>
    <row r="18" spans="1:20" ht="14.25" customHeight="1">
      <c r="B18" s="267"/>
      <c r="C18" s="230"/>
      <c r="D18" s="230"/>
      <c r="E18" s="63">
        <v>2</v>
      </c>
      <c r="F18" s="312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5"/>
      <c r="L18" s="275"/>
      <c r="M18" s="275"/>
      <c r="N18" s="299"/>
      <c r="O18" s="275"/>
      <c r="P18" s="275"/>
      <c r="Q18" s="275"/>
      <c r="R18" s="302"/>
      <c r="S18" s="303"/>
      <c r="T18" s="291"/>
    </row>
    <row r="19" spans="1:20" ht="14.25" customHeight="1">
      <c r="B19" s="268"/>
      <c r="C19" s="270"/>
      <c r="D19" s="270"/>
      <c r="E19" s="64">
        <v>3</v>
      </c>
      <c r="F19" s="313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6"/>
      <c r="L19" s="276"/>
      <c r="M19" s="276"/>
      <c r="N19" s="300"/>
      <c r="O19" s="276"/>
      <c r="P19" s="276"/>
      <c r="Q19" s="276"/>
      <c r="R19" s="302"/>
      <c r="S19" s="304"/>
      <c r="T19" s="293"/>
    </row>
    <row r="20" spans="1:20" ht="14.25" customHeight="1">
      <c r="B20" s="314">
        <f>DATE(YEAR(B8),MONTH(B8),DAY(B8)+1)</f>
        <v>45279</v>
      </c>
      <c r="C20" s="315" t="s">
        <v>15</v>
      </c>
      <c r="D20" s="315" t="s">
        <v>40</v>
      </c>
      <c r="E20" s="73">
        <v>1</v>
      </c>
      <c r="F20" s="271" t="str">
        <f>LEFT(總表!$D25,IF(F23=0,LEN(總表!$D25)+3,LEN(總表!$D25)-3))</f>
        <v>白菜獅子頭</v>
      </c>
      <c r="G20" s="21" t="str">
        <f>IFERROR(IF(VLOOKUP($E20&amp;+$F$20,依據!$A:$C,3,FALSE)=0,"",VLOOKUP($E20&amp;+$F$20,依據!$A:$C,3,FALSE)),"")</f>
        <v>獅子頭</v>
      </c>
      <c r="H20" s="21" t="str">
        <f>IFERROR(IF(VLOOKUP($E20&amp;+$F$20,依據!$A:$D,4,FALSE)=0,"",(VLOOKUP($E20&amp;+$F$20,依據!$A:$D,4,FALSE))),"")</f>
        <v>52個</v>
      </c>
      <c r="I20" s="20" t="str">
        <f>IFERROR(IF(VLOOKUP($E20&amp;+$F$20,依據!$A:$E,5,FALSE)=0,"",VLOOKUP($E20&amp;+$F$20,依據!$A:$E,5,FALSE)),"")</f>
        <v>太白粉</v>
      </c>
      <c r="J20" s="34">
        <f>IFERROR(IF(VLOOKUP($E20&amp;+$F$20,依據!$A:$F,6,FALSE)=0,"",(VLOOKUP($E20&amp;+$F$20,依據!$A:$F,6,FALSE))),"")</f>
        <v>0.6</v>
      </c>
      <c r="K20" s="274">
        <v>0</v>
      </c>
      <c r="L20" s="277">
        <v>0.7</v>
      </c>
      <c r="M20" s="277">
        <v>0</v>
      </c>
      <c r="N20" s="298">
        <v>0.1</v>
      </c>
      <c r="O20" s="277">
        <f>IF($F20="不供餐","",IFERROR(VLOOKUP($F20,依據!$B:P,15,FALSE),0)+IFERROR(VLOOKUP($F23,依據!$B:P,15,FALSE),0))</f>
        <v>1.04</v>
      </c>
      <c r="P20" s="277">
        <f>IF($F20="不供餐","",IFERROR(VLOOKUP($F20,依據!$B:Q,16,FALSE),0)+IFERROR(VLOOKUP($F23,依據!$B:Q,16,FALSE),0))</f>
        <v>0</v>
      </c>
      <c r="Q20" s="277">
        <f>IF($F20="不供餐","",IFERROR(VLOOKUP($F20,依據!$B:R,17,FALSE),0)+IFERROR(VLOOKUP($F23,依據!$B:R,17,FALSE),0))</f>
        <v>0</v>
      </c>
      <c r="R20" s="301">
        <f>IF($F20="不供餐","",SUM(K20*70+L20*75+M20*120+N20*25+O20*60+P20*45+Q20*4))</f>
        <v>117.4</v>
      </c>
      <c r="S20" s="303" t="s">
        <v>1150</v>
      </c>
      <c r="T20" s="291"/>
    </row>
    <row r="21" spans="1:20" ht="14.25" customHeight="1">
      <c r="B21" s="267"/>
      <c r="C21" s="230"/>
      <c r="D21" s="230"/>
      <c r="E21" s="63">
        <v>2</v>
      </c>
      <c r="F21" s="272"/>
      <c r="G21" s="22" t="str">
        <f>IFERROR(IF(VLOOKUP($E21&amp;+$F$20,依據!$A:$C,3,FALSE)=0,"",VLOOKUP($E21&amp;+$F$20,依據!$A:$C,3,FALSE)),"")</f>
        <v>大白菜</v>
      </c>
      <c r="H21" s="22">
        <f>IFERROR(IF(VLOOKUP($E21&amp;+$F$20,依據!$A:$D,4,FALSE)=0,"",(VLOOKUP($E21&amp;+$F$20,依據!$A:$D,4,FALSE))),"")</f>
        <v>0.8</v>
      </c>
      <c r="I21" s="23" t="str">
        <f>IFERROR(IF(VLOOKUP($E21&amp;+$F$20,依據!$A:$E,5,FALSE)=0,"",VLOOKUP($E21&amp;+$F$20,依據!$A:$E,5,FALSE)),"")</f>
        <v>木耳</v>
      </c>
      <c r="J21" s="36">
        <f>IFERROR(IF(VLOOKUP($E21&amp;+$F$20,依據!$A:$F,6,FALSE)=0,"",(VLOOKUP($E21&amp;+$F$20,依據!$A:$F,6,FALSE))),"")</f>
        <v>0.3</v>
      </c>
      <c r="K21" s="275"/>
      <c r="L21" s="275"/>
      <c r="M21" s="275"/>
      <c r="N21" s="299"/>
      <c r="O21" s="275"/>
      <c r="P21" s="275"/>
      <c r="Q21" s="275"/>
      <c r="R21" s="302"/>
      <c r="S21" s="303"/>
      <c r="T21" s="291"/>
    </row>
    <row r="22" spans="1:20" ht="14.25" customHeight="1">
      <c r="B22" s="267"/>
      <c r="C22" s="230"/>
      <c r="D22" s="230"/>
      <c r="E22" s="63">
        <v>3</v>
      </c>
      <c r="F22" s="273"/>
      <c r="G22" s="24" t="str">
        <f>IFERROR(IF(VLOOKUP($E22&amp;+$F$20,依據!$A:$C,3,FALSE)=0,"",VLOOKUP($E22&amp;+$F$20,依據!$A:$C,3,FALSE)),"")</f>
        <v>冬粉</v>
      </c>
      <c r="H22" s="24">
        <f>IFERROR(IF(VLOOKUP($E22&amp;+$F$20,依據!$A:$D,4,FALSE)=0,"",(VLOOKUP($E22&amp;+$F$20,依據!$A:$D,4,FALSE))),"")</f>
        <v>0.5</v>
      </c>
      <c r="I22" s="25" t="str">
        <f>IFERROR(IF(VLOOKUP($E22&amp;+$F$20,依據!$A:$E,5,FALSE)=0,"",VLOOKUP($E22&amp;+$F$20,依據!$A:$E,5,FALSE)),"")</f>
        <v>香菜</v>
      </c>
      <c r="J22" s="37">
        <f>IFERROR(IF(VLOOKUP($E22&amp;+$F$20,依據!$A:$F,6,FALSE)=0,"",(VLOOKUP($E22&amp;+$F$20,依據!$A:$F,6,FALSE))),"")</f>
        <v>0.1</v>
      </c>
      <c r="K22" s="275"/>
      <c r="L22" s="275"/>
      <c r="M22" s="275"/>
      <c r="N22" s="299"/>
      <c r="O22" s="275"/>
      <c r="P22" s="275"/>
      <c r="Q22" s="275"/>
      <c r="R22" s="302"/>
      <c r="S22" s="303"/>
      <c r="T22" s="291"/>
    </row>
    <row r="23" spans="1:20" ht="14.25" customHeight="1">
      <c r="A23" s="43"/>
      <c r="B23" s="267"/>
      <c r="C23" s="230"/>
      <c r="D23" s="230"/>
      <c r="E23" s="63">
        <v>1</v>
      </c>
      <c r="F23" s="316" t="str">
        <f>IFERROR(IF(FIND("+水果",總表!$D25)&gt;0,"水果",""),0)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1249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5"/>
      <c r="L23" s="275"/>
      <c r="M23" s="275"/>
      <c r="N23" s="299"/>
      <c r="O23" s="275"/>
      <c r="P23" s="275"/>
      <c r="Q23" s="275"/>
      <c r="R23" s="302"/>
      <c r="S23" s="303"/>
      <c r="T23" s="291"/>
    </row>
    <row r="24" spans="1:20" ht="14.25" customHeight="1">
      <c r="A24" s="44"/>
      <c r="B24" s="267"/>
      <c r="C24" s="230"/>
      <c r="D24" s="230"/>
      <c r="E24" s="63">
        <v>2</v>
      </c>
      <c r="F24" s="306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5"/>
      <c r="L24" s="275"/>
      <c r="M24" s="275"/>
      <c r="N24" s="299"/>
      <c r="O24" s="275"/>
      <c r="P24" s="275"/>
      <c r="Q24" s="275"/>
      <c r="R24" s="302"/>
      <c r="S24" s="303"/>
      <c r="T24" s="291"/>
    </row>
    <row r="25" spans="1:20" ht="14.25" customHeight="1">
      <c r="A25" s="44"/>
      <c r="B25" s="267"/>
      <c r="C25" s="230"/>
      <c r="D25" s="270"/>
      <c r="E25" s="64">
        <v>3</v>
      </c>
      <c r="F25" s="307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6"/>
      <c r="L25" s="276"/>
      <c r="M25" s="276"/>
      <c r="N25" s="300"/>
      <c r="O25" s="276"/>
      <c r="P25" s="276"/>
      <c r="Q25" s="276"/>
      <c r="R25" s="302"/>
      <c r="S25" s="304"/>
      <c r="T25" s="293"/>
    </row>
    <row r="26" spans="1:20" ht="14.25" customHeight="1">
      <c r="B26" s="267"/>
      <c r="C26" s="230"/>
      <c r="D26" s="230" t="s">
        <v>41</v>
      </c>
      <c r="E26" s="73">
        <v>1</v>
      </c>
      <c r="F26" s="308" t="str">
        <f>IFERROR(LEFT(總表!$E25,FIND("+",總表!$E25)-1),總表!$E25)</f>
        <v>沙其馬</v>
      </c>
      <c r="G26" s="21" t="str">
        <f>IFERROR(IF(VLOOKUP($E26&amp;+$F$26,依據!$A:$C,3,FALSE)=0,"",VLOOKUP($E26&amp;+$F$26,依據!$A:$C,3,FALSE)),"")</f>
        <v>沙其馬</v>
      </c>
      <c r="H26" s="21" t="s">
        <v>1250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74">
        <f>IF($F26="不供餐","",IFERROR(VLOOKUP($F26,依據!$B:L,11,FALSE),0)+IFERROR(VLOOKUP($F29,依據!$B:L,11,FALSE),0))</f>
        <v>1.56</v>
      </c>
      <c r="L26" s="277">
        <f>IF($F26="不供餐","",IFERROR(VLOOKUP($F26,依據!$B:M,12,FALSE),0)+IFERROR(VLOOKUP($F29,依據!$B:M,12,FALSE),0))</f>
        <v>0</v>
      </c>
      <c r="M26" s="277">
        <f>IF($F26="不供餐","",IFERROR(VLOOKUP($F26,依據!$B:N,13,FALSE),0)+IFERROR(VLOOKUP($F29,依據!$B:N,13,FALSE),0))</f>
        <v>0.58800000000000008</v>
      </c>
      <c r="N26" s="298">
        <f>IF($F26="不供餐","",IFERROR(VLOOKUP($F26,依據!$B:O,14,FALSE),0)+IFERROR(VLOOKUP($F29,依據!$B:O,14,FALSE),0))</f>
        <v>0</v>
      </c>
      <c r="O26" s="277">
        <f>IF($F26="不供餐","",IFERROR(VLOOKUP($F26,依據!$B:P,15,FALSE),0)+IFERROR(VLOOKUP($F29,依據!$B:P,15,FALSE),0))</f>
        <v>0</v>
      </c>
      <c r="P26" s="277">
        <f>IF($F26="不供餐","",IFERROR(VLOOKUP($F26,依據!$B:Q,16,FALSE),0)+IFERROR(VLOOKUP($F29,依據!$B:Q,16,FALSE),0))</f>
        <v>1.3520000000000001</v>
      </c>
      <c r="Q26" s="277">
        <f>IF($F26="不供餐","",IFERROR(VLOOKUP($F26,依據!$B:R,17,FALSE),0)+IFERROR(VLOOKUP($F29,依據!$B:R,17,FALSE),0))</f>
        <v>10.4</v>
      </c>
      <c r="R26" s="301">
        <f>IF($F26="不供餐","",SUM(K26*70+L26*75+M26*120+N26*25+O26*60+P26*45+Q26*4))</f>
        <v>282.2</v>
      </c>
      <c r="S26" s="303" t="str">
        <f>_xlfn.IFS(COUNTIF($F26,"水果拼盤")=1,"水果3種",(COUNTIF($F26,"水果拼盤"))=0,"")</f>
        <v/>
      </c>
      <c r="T26" s="291"/>
    </row>
    <row r="27" spans="1:20" ht="14.25" customHeight="1">
      <c r="B27" s="267"/>
      <c r="C27" s="230"/>
      <c r="D27" s="230"/>
      <c r="E27" s="63">
        <v>2</v>
      </c>
      <c r="F27" s="309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5"/>
      <c r="L27" s="275"/>
      <c r="M27" s="275"/>
      <c r="N27" s="299"/>
      <c r="O27" s="275"/>
      <c r="P27" s="275"/>
      <c r="Q27" s="275"/>
      <c r="R27" s="302"/>
      <c r="S27" s="303"/>
      <c r="T27" s="291"/>
    </row>
    <row r="28" spans="1:20" ht="14.25" customHeight="1">
      <c r="B28" s="267"/>
      <c r="C28" s="230"/>
      <c r="D28" s="230"/>
      <c r="E28" s="63">
        <v>3</v>
      </c>
      <c r="F28" s="310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5"/>
      <c r="L28" s="275"/>
      <c r="M28" s="275"/>
      <c r="N28" s="299"/>
      <c r="O28" s="275"/>
      <c r="P28" s="275"/>
      <c r="Q28" s="275"/>
      <c r="R28" s="302"/>
      <c r="S28" s="303"/>
      <c r="T28" s="291"/>
    </row>
    <row r="29" spans="1:20" ht="14.25" customHeight="1">
      <c r="B29" s="267"/>
      <c r="C29" s="230"/>
      <c r="D29" s="230"/>
      <c r="E29" s="63">
        <v>1</v>
      </c>
      <c r="F29" s="311" t="str">
        <f>IFERROR(IF(FIND("+",總表!$E25)&gt;0,RIGHT(總表!$E25,LEN(總表!$E25)-FIND("+",總表!$E25)),""),0)</f>
        <v>鮮奶</v>
      </c>
      <c r="G29" s="21" t="str">
        <f>IFERROR(IF(VLOOKUP($E29&amp;+$F$29,依據!$A:$C,3,FALSE)=0,"",VLOOKUP($E29&amp;+$F$29,依據!$A:$C,3,FALSE)),"")</f>
        <v>鮮奶</v>
      </c>
      <c r="H29" s="21" t="str">
        <f>IFERROR(IF(VLOOKUP($E29&amp;+$F$29,依據!$A:$D,4,FALSE)=0,"",(VLOOKUP($E29&amp;+$F$29,依據!$A:$D,4,FALSE))),"")</f>
        <v>1L*7</v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5"/>
      <c r="L29" s="275"/>
      <c r="M29" s="275"/>
      <c r="N29" s="299"/>
      <c r="O29" s="275"/>
      <c r="P29" s="275"/>
      <c r="Q29" s="275"/>
      <c r="R29" s="302"/>
      <c r="S29" s="303"/>
      <c r="T29" s="291"/>
    </row>
    <row r="30" spans="1:20" ht="14.25" customHeight="1">
      <c r="B30" s="267"/>
      <c r="C30" s="230"/>
      <c r="D30" s="230"/>
      <c r="E30" s="63">
        <v>2</v>
      </c>
      <c r="F30" s="312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5"/>
      <c r="L30" s="275"/>
      <c r="M30" s="275"/>
      <c r="N30" s="299"/>
      <c r="O30" s="275"/>
      <c r="P30" s="275"/>
      <c r="Q30" s="275"/>
      <c r="R30" s="302"/>
      <c r="S30" s="303"/>
      <c r="T30" s="291"/>
    </row>
    <row r="31" spans="1:20" ht="14.25" customHeight="1">
      <c r="B31" s="268"/>
      <c r="C31" s="270"/>
      <c r="D31" s="270"/>
      <c r="E31" s="64">
        <v>3</v>
      </c>
      <c r="F31" s="313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6"/>
      <c r="L31" s="276"/>
      <c r="M31" s="276"/>
      <c r="N31" s="300"/>
      <c r="O31" s="276"/>
      <c r="P31" s="276"/>
      <c r="Q31" s="276"/>
      <c r="R31" s="302"/>
      <c r="S31" s="304"/>
      <c r="T31" s="293"/>
    </row>
    <row r="32" spans="1:20" ht="14.25" customHeight="1">
      <c r="B32" s="314">
        <f t="shared" ref="B32" si="0">DATE(YEAR(B20),MONTH(B20),DAY(B20)+1)</f>
        <v>45280</v>
      </c>
      <c r="C32" s="315" t="s">
        <v>16</v>
      </c>
      <c r="D32" s="315" t="s">
        <v>40</v>
      </c>
      <c r="E32" s="73">
        <v>1</v>
      </c>
      <c r="F32" s="271" t="str">
        <f>LEFT(總表!$D26,IF(F35=0,LEN(總表!$D26)+3,LEN(總表!$D26)-3))</f>
        <v>家常麵疙瘩</v>
      </c>
      <c r="G32" s="21" t="str">
        <f>IFERROR(IF(VLOOKUP($E32&amp;+$F$32,依據!$A:$C,3,FALSE)=0,"",VLOOKUP($E32&amp;+$F$32,依據!$A:$C,3,FALSE)),"")</f>
        <v>麵疙瘩</v>
      </c>
      <c r="H32" s="21">
        <f>IFERROR(IF(VLOOKUP($E32&amp;+$F$32,依據!$A:$D,4,FALSE)=0,"",(VLOOKUP($E32&amp;+$F$32,依據!$A:$D,4,FALSE))),"")</f>
        <v>3.6</v>
      </c>
      <c r="I32" s="20" t="str">
        <f>IFERROR(IF(VLOOKUP($E32&amp;+$F$32,依據!$A:$E,5,FALSE)=0,"",VLOOKUP($E32&amp;+$F$32,依據!$A:$E,5,FALSE)),"")</f>
        <v>青江菜</v>
      </c>
      <c r="J32" s="34">
        <f>IFERROR(IF(VLOOKUP($E32&amp;+$F$32,依據!$A:$F,6,FALSE)=0,"",(VLOOKUP($E32&amp;+$F$32,依據!$A:$F,6,FALSE))),"")</f>
        <v>0.6</v>
      </c>
      <c r="K32" s="274">
        <f>IF($F32="不供餐","",IFERROR(VLOOKUP($F32,依據!$B:L,11,FALSE),0)+IFERROR(VLOOKUP($F35,依據!$B:L,11,FALSE),0))</f>
        <v>1.2</v>
      </c>
      <c r="L32" s="277">
        <f>IF($F32="不供餐","",IFERROR(VLOOKUP($F32,依據!$B:M,12,FALSE),0)+IFERROR(VLOOKUP($F35,依據!$B:M,12,FALSE),0))</f>
        <v>0.34285714285714286</v>
      </c>
      <c r="M32" s="277">
        <f>IF($F32="不供餐","",IFERROR(VLOOKUP($F32,依據!$B:N,13,FALSE),0)+IFERROR(VLOOKUP($F35,依據!$B:N,13,FALSE),0))</f>
        <v>0</v>
      </c>
      <c r="N32" s="298">
        <f>IF($F32="不供餐","",IFERROR(VLOOKUP($F32,依據!$B:O,14,FALSE),0)+IFERROR(VLOOKUP($F35,依據!$B:O,14,FALSE),0))</f>
        <v>0.24000000000000002</v>
      </c>
      <c r="O32" s="277">
        <f>IF($F32="不供餐","",IFERROR(VLOOKUP($F32,依據!$B:P,15,FALSE),0)+IFERROR(VLOOKUP($F35,依據!$B:P,15,FALSE),0))</f>
        <v>0</v>
      </c>
      <c r="P32" s="277">
        <f>IF($F32="不供餐","",IFERROR(VLOOKUP($F32,依據!$B:Q,16,FALSE),0)+IFERROR(VLOOKUP($F35,依據!$B:Q,16,FALSE),0))</f>
        <v>0</v>
      </c>
      <c r="Q32" s="277">
        <f>IF($F32="不供餐","",IFERROR(VLOOKUP($F32,依據!$B:R,17,FALSE),0)+IFERROR(VLOOKUP($F35,依據!$B:R,17,FALSE),0))</f>
        <v>0</v>
      </c>
      <c r="R32" s="301">
        <f>IF($F32="不供餐","",SUM(K32*70+L32*75+M32*120+N32*25+O32*60+P32*45+Q32*4))</f>
        <v>115.71428571428572</v>
      </c>
      <c r="S32" s="303" t="str">
        <f>_xlfn.IFS(COUNTIF($F35,"水果")=1,"水果1種",(COUNTIF($F35,"水果"))=0,"")</f>
        <v/>
      </c>
      <c r="T32" s="291"/>
    </row>
    <row r="33" spans="2:20" ht="14.25" customHeight="1">
      <c r="B33" s="267"/>
      <c r="C33" s="230"/>
      <c r="D33" s="230"/>
      <c r="E33" s="63">
        <v>2</v>
      </c>
      <c r="F33" s="272"/>
      <c r="G33" s="22" t="str">
        <f>IFERROR(IF(VLOOKUP($E33&amp;+$F$32,依據!$A:$C,3,FALSE)=0,"",VLOOKUP($E33&amp;+$F$32,依據!$A:$C,3,FALSE)),"")</f>
        <v>豬肉絲</v>
      </c>
      <c r="H33" s="22">
        <f>IFERROR(IF(VLOOKUP($E33&amp;+$F$32,依據!$A:$D,4,FALSE)=0,"",(VLOOKUP($E33&amp;+$F$32,依據!$A:$D,4,FALSE))),"")</f>
        <v>0.6</v>
      </c>
      <c r="I33" s="23" t="str">
        <f>IFERROR(IF(VLOOKUP($E33&amp;+$F$32,依據!$A:$E,5,FALSE)=0,"",VLOOKUP($E33&amp;+$F$32,依據!$A:$E,5,FALSE)),"")</f>
        <v>紅蘿蔔</v>
      </c>
      <c r="J33" s="36">
        <f>IFERROR(IF(VLOOKUP($E33&amp;+$F$32,依據!$A:$F,6,FALSE)=0,"",(VLOOKUP($E33&amp;+$F$32,依據!$A:$F,6,FALSE))),"")</f>
        <v>0.2</v>
      </c>
      <c r="K33" s="275"/>
      <c r="L33" s="275"/>
      <c r="M33" s="275"/>
      <c r="N33" s="299"/>
      <c r="O33" s="275"/>
      <c r="P33" s="275"/>
      <c r="Q33" s="275"/>
      <c r="R33" s="302"/>
      <c r="S33" s="303"/>
      <c r="T33" s="291"/>
    </row>
    <row r="34" spans="2:20" ht="14.25" customHeight="1">
      <c r="B34" s="267"/>
      <c r="C34" s="230"/>
      <c r="D34" s="230"/>
      <c r="E34" s="63">
        <v>3</v>
      </c>
      <c r="F34" s="273"/>
      <c r="G34" s="24" t="str">
        <f>IFERROR(IF(VLOOKUP($E34&amp;+$F$32,依據!$A:$C,3,FALSE)=0,"",VLOOKUP($E34&amp;+$F$32,依據!$A:$C,3,FALSE)),"")</f>
        <v>生香菇</v>
      </c>
      <c r="H34" s="24">
        <f>IFERROR(IF(VLOOKUP($E34&amp;+$F$32,依據!$A:$D,4,FALSE)=0,"",(VLOOKUP($E34&amp;+$F$32,依據!$A:$D,4,FALSE))),"")</f>
        <v>0.4</v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5"/>
      <c r="L34" s="275"/>
      <c r="M34" s="275"/>
      <c r="N34" s="299"/>
      <c r="O34" s="275"/>
      <c r="P34" s="275"/>
      <c r="Q34" s="275"/>
      <c r="R34" s="302"/>
      <c r="S34" s="303"/>
      <c r="T34" s="291"/>
    </row>
    <row r="35" spans="2:20" ht="14.25" customHeight="1">
      <c r="B35" s="267"/>
      <c r="C35" s="230"/>
      <c r="D35" s="230"/>
      <c r="E35" s="63">
        <v>1</v>
      </c>
      <c r="F35" s="316">
        <f>IFERROR(IF(FIND("+水果",總表!$D26)&gt;0,"水果",""),0)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5"/>
      <c r="L35" s="275"/>
      <c r="M35" s="275"/>
      <c r="N35" s="299"/>
      <c r="O35" s="275"/>
      <c r="P35" s="275"/>
      <c r="Q35" s="275"/>
      <c r="R35" s="302"/>
      <c r="S35" s="303"/>
      <c r="T35" s="291"/>
    </row>
    <row r="36" spans="2:20" ht="14.25" customHeight="1">
      <c r="B36" s="267"/>
      <c r="C36" s="230"/>
      <c r="D36" s="230"/>
      <c r="E36" s="63">
        <v>2</v>
      </c>
      <c r="F36" s="306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5"/>
      <c r="L36" s="275"/>
      <c r="M36" s="275"/>
      <c r="N36" s="299"/>
      <c r="O36" s="275"/>
      <c r="P36" s="275"/>
      <c r="Q36" s="275"/>
      <c r="R36" s="302"/>
      <c r="S36" s="303"/>
      <c r="T36" s="291"/>
    </row>
    <row r="37" spans="2:20" ht="14.25" customHeight="1">
      <c r="B37" s="267"/>
      <c r="C37" s="230"/>
      <c r="D37" s="270"/>
      <c r="E37" s="64">
        <v>3</v>
      </c>
      <c r="F37" s="307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6"/>
      <c r="L37" s="276"/>
      <c r="M37" s="276"/>
      <c r="N37" s="300"/>
      <c r="O37" s="276"/>
      <c r="P37" s="276"/>
      <c r="Q37" s="276"/>
      <c r="R37" s="302"/>
      <c r="S37" s="304"/>
      <c r="T37" s="293"/>
    </row>
    <row r="38" spans="2:20" ht="14.25" customHeight="1">
      <c r="B38" s="267"/>
      <c r="C38" s="230"/>
      <c r="D38" s="269" t="s">
        <v>41</v>
      </c>
      <c r="E38" s="73">
        <v>1</v>
      </c>
      <c r="F38" s="308" t="str">
        <f>IFERROR(LEFT(總表!$E26,FIND("+",總表!$E26)-1),總表!$E26)</f>
        <v>燒仙草</v>
      </c>
      <c r="G38" s="21" t="str">
        <f>IFERROR(IF(VLOOKUP($E38&amp;+$F$38,依據!$A:$C,3,FALSE)=0,"",VLOOKUP($E38&amp;+$F$38,依據!$A:$C,3,FALSE)),"")</f>
        <v>仙草汁</v>
      </c>
      <c r="H38" s="21" t="str">
        <f>IFERROR(IF(VLOOKUP($E38&amp;+$F$38,依據!$A:$D,4,FALSE)=0,"",(VLOOKUP($E38&amp;+$F$38,依據!$A:$D,4,FALSE))),"")</f>
        <v>3L</v>
      </c>
      <c r="I38" s="20" t="str">
        <f>IFERROR(IF(VLOOKUP($E38&amp;+$F$38,依據!$A:$E,5,FALSE)=0,"",VLOOKUP($E38&amp;+$F$38,依據!$A:$E,5,FALSE)),"")</f>
        <v>二砂糖</v>
      </c>
      <c r="J38" s="34">
        <f>IFERROR(IF(VLOOKUP($E38&amp;+$F$38,依據!$A:$F,6,FALSE)=0,"",(VLOOKUP($E38&amp;+$F$38,依據!$A:$F,6,FALSE))),"")</f>
        <v>1</v>
      </c>
      <c r="K38" s="274">
        <v>1.5</v>
      </c>
      <c r="L38" s="277">
        <v>0</v>
      </c>
      <c r="M38" s="277">
        <v>0</v>
      </c>
      <c r="N38" s="298">
        <v>0</v>
      </c>
      <c r="O38" s="277">
        <v>0</v>
      </c>
      <c r="P38" s="277">
        <f>IF($F38="不供餐","",IFERROR(VLOOKUP($F38,依據!$B:Q,16,FALSE),0)+IFERROR(VLOOKUP($F41,依據!$B:Q,16,FALSE),0))</f>
        <v>0</v>
      </c>
      <c r="Q38" s="277">
        <f>IF($F38="不供餐","",IFERROR(VLOOKUP($F38,依據!$B:R,17,FALSE),0)+IFERROR(VLOOKUP($F41,依據!$B:R,17,FALSE),0))</f>
        <v>20</v>
      </c>
      <c r="R38" s="301">
        <f>IF($F38="不供餐","",SUM(K38*70+L38*75+M38*120+N38*25+O38*60+P38*45+Q38*4))</f>
        <v>185</v>
      </c>
      <c r="S38" s="303"/>
      <c r="T38" s="291"/>
    </row>
    <row r="39" spans="2:20" ht="14.25" customHeight="1">
      <c r="B39" s="267"/>
      <c r="C39" s="230"/>
      <c r="D39" s="230"/>
      <c r="E39" s="63">
        <v>2</v>
      </c>
      <c r="F39" s="309"/>
      <c r="G39" s="22" t="str">
        <f>IFERROR(IF(VLOOKUP($E39&amp;+$F$38,依據!$A:$C,3,FALSE)=0,"",VLOOKUP($E39&amp;+$F$38,依據!$A:$C,3,FALSE)),"")</f>
        <v>大紅豆</v>
      </c>
      <c r="H39" s="22">
        <f>IFERROR(IF(VLOOKUP($E39&amp;+$F$38,依據!$A:$D,4,FALSE)=0,"",(VLOOKUP($E39&amp;+$F$38,依據!$A:$D,4,FALSE))),"")</f>
        <v>0.8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5"/>
      <c r="L39" s="275"/>
      <c r="M39" s="275"/>
      <c r="N39" s="299"/>
      <c r="O39" s="275"/>
      <c r="P39" s="275"/>
      <c r="Q39" s="275"/>
      <c r="R39" s="302"/>
      <c r="S39" s="303"/>
      <c r="T39" s="291"/>
    </row>
    <row r="40" spans="2:20" ht="14.25" customHeight="1">
      <c r="B40" s="267"/>
      <c r="C40" s="230"/>
      <c r="D40" s="230"/>
      <c r="E40" s="63">
        <v>3</v>
      </c>
      <c r="F40" s="310"/>
      <c r="G40" s="24" t="str">
        <f>IFERROR(IF(VLOOKUP($E40&amp;+$F$38,依據!$A:$C,3,FALSE)=0,"",VLOOKUP($E40&amp;+$F$38,依據!$A:$C,3,FALSE)),"")</f>
        <v>粉圓</v>
      </c>
      <c r="H40" s="24">
        <f>IFERROR(IF(VLOOKUP($E40&amp;+$F$38,依據!$A:$D,4,FALSE)=0,"",(VLOOKUP($E40&amp;+$F$38,依據!$A:$D,4,FALSE))),"")</f>
        <v>0.8</v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5"/>
      <c r="L40" s="275"/>
      <c r="M40" s="275"/>
      <c r="N40" s="299"/>
      <c r="O40" s="275"/>
      <c r="P40" s="275"/>
      <c r="Q40" s="275"/>
      <c r="R40" s="302"/>
      <c r="S40" s="303"/>
      <c r="T40" s="291"/>
    </row>
    <row r="41" spans="2:20" ht="14.25" customHeight="1">
      <c r="B41" s="267"/>
      <c r="C41" s="230"/>
      <c r="D41" s="230"/>
      <c r="E41" s="63">
        <v>1</v>
      </c>
      <c r="F41" s="311">
        <f>IFERROR(IF(FIND("+",總表!$E26)&gt;0,RIGHT(總表!$E26,LEN(總表!$E26)-FIND("+",總表!$E26)),""),0)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5"/>
      <c r="L41" s="275"/>
      <c r="M41" s="275"/>
      <c r="N41" s="299"/>
      <c r="O41" s="275"/>
      <c r="P41" s="275"/>
      <c r="Q41" s="275"/>
      <c r="R41" s="302"/>
      <c r="S41" s="303"/>
      <c r="T41" s="291"/>
    </row>
    <row r="42" spans="2:20" ht="14.25" customHeight="1">
      <c r="B42" s="267"/>
      <c r="C42" s="230"/>
      <c r="D42" s="230"/>
      <c r="E42" s="63">
        <v>2</v>
      </c>
      <c r="F42" s="312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5"/>
      <c r="L42" s="275"/>
      <c r="M42" s="275"/>
      <c r="N42" s="299"/>
      <c r="O42" s="275"/>
      <c r="P42" s="275"/>
      <c r="Q42" s="275"/>
      <c r="R42" s="302"/>
      <c r="S42" s="303"/>
      <c r="T42" s="291"/>
    </row>
    <row r="43" spans="2:20" ht="14.25" customHeight="1">
      <c r="B43" s="268"/>
      <c r="C43" s="270"/>
      <c r="D43" s="270"/>
      <c r="E43" s="64">
        <v>3</v>
      </c>
      <c r="F43" s="313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6"/>
      <c r="L43" s="276"/>
      <c r="M43" s="276"/>
      <c r="N43" s="300"/>
      <c r="O43" s="276"/>
      <c r="P43" s="276"/>
      <c r="Q43" s="276"/>
      <c r="R43" s="302"/>
      <c r="S43" s="304"/>
      <c r="T43" s="293"/>
    </row>
    <row r="44" spans="2:20" ht="14.25" customHeight="1">
      <c r="B44" s="314">
        <f t="shared" ref="B44" si="1">DATE(YEAR(B32),MONTH(B32),DAY(B32)+1)</f>
        <v>45281</v>
      </c>
      <c r="C44" s="315" t="s">
        <v>17</v>
      </c>
      <c r="D44" s="230" t="s">
        <v>40</v>
      </c>
      <c r="E44" s="73">
        <v>1</v>
      </c>
      <c r="F44" s="329" t="str">
        <f>LEFT(總表!$D27,IF(F47=0,LEN(總表!$D27)+3,LEN(總表!$D27)-3))</f>
        <v>皮蛋瘦肉粥</v>
      </c>
      <c r="G44" s="21" t="s">
        <v>1235</v>
      </c>
      <c r="H44" s="21">
        <v>1</v>
      </c>
      <c r="I44" s="20" t="s">
        <v>1240</v>
      </c>
      <c r="J44" s="34">
        <v>0.2</v>
      </c>
      <c r="K44" s="274">
        <v>1.5</v>
      </c>
      <c r="L44" s="277">
        <v>1.1000000000000001</v>
      </c>
      <c r="M44" s="277">
        <v>0</v>
      </c>
      <c r="N44" s="298">
        <v>0.2</v>
      </c>
      <c r="O44" s="277">
        <f>IF($F44="不供餐","",IFERROR(VLOOKUP($F44,依據!$B:P,15,FALSE),0)+IFERROR(VLOOKUP($F47,依據!$B:P,15,FALSE),0))</f>
        <v>1.04</v>
      </c>
      <c r="P44" s="277">
        <v>1</v>
      </c>
      <c r="Q44" s="277">
        <f>IF($F44="不供餐","",IFERROR(VLOOKUP($F44,依據!$B:R,17,FALSE),0)+IFERROR(VLOOKUP($F47,依據!$B:R,17,FALSE),0))</f>
        <v>0</v>
      </c>
      <c r="R44" s="301">
        <f>IF($F44="不供餐","",SUM(K44*70+L44*75+M44*120+N44*25+O44*60+P44*45+Q44*4))</f>
        <v>299.89999999999998</v>
      </c>
      <c r="S44" s="303" t="s">
        <v>1150</v>
      </c>
      <c r="T44" s="291"/>
    </row>
    <row r="45" spans="2:20" ht="14.25" customHeight="1">
      <c r="B45" s="267"/>
      <c r="C45" s="230"/>
      <c r="D45" s="230"/>
      <c r="E45" s="63">
        <v>2</v>
      </c>
      <c r="F45" s="330"/>
      <c r="G45" s="22" t="s">
        <v>1236</v>
      </c>
      <c r="H45" s="22" t="s">
        <v>1238</v>
      </c>
      <c r="I45" s="23" t="s">
        <v>1241</v>
      </c>
      <c r="J45" s="36">
        <v>0.6</v>
      </c>
      <c r="K45" s="275"/>
      <c r="L45" s="275"/>
      <c r="M45" s="275"/>
      <c r="N45" s="299"/>
      <c r="O45" s="275"/>
      <c r="P45" s="275"/>
      <c r="Q45" s="275"/>
      <c r="R45" s="302"/>
      <c r="S45" s="303"/>
      <c r="T45" s="291"/>
    </row>
    <row r="46" spans="2:20" ht="14.25" customHeight="1">
      <c r="B46" s="267"/>
      <c r="C46" s="230"/>
      <c r="D46" s="230"/>
      <c r="E46" s="63">
        <v>3</v>
      </c>
      <c r="F46" s="331"/>
      <c r="G46" s="24" t="s">
        <v>1237</v>
      </c>
      <c r="H46" s="24">
        <v>1.2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5"/>
      <c r="L46" s="275"/>
      <c r="M46" s="275"/>
      <c r="N46" s="299"/>
      <c r="O46" s="275"/>
      <c r="P46" s="275"/>
      <c r="Q46" s="275"/>
      <c r="R46" s="302"/>
      <c r="S46" s="303"/>
      <c r="T46" s="291"/>
    </row>
    <row r="47" spans="2:20" ht="14.25" customHeight="1">
      <c r="B47" s="267"/>
      <c r="C47" s="230"/>
      <c r="D47" s="230"/>
      <c r="E47" s="63">
        <v>1</v>
      </c>
      <c r="F47" s="316" t="str">
        <f>IFERROR(IF(FIND("+水果",總表!$D27)&gt;0,"水果",""),0)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1249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5"/>
      <c r="L47" s="275"/>
      <c r="M47" s="275"/>
      <c r="N47" s="299"/>
      <c r="O47" s="275"/>
      <c r="P47" s="275"/>
      <c r="Q47" s="275"/>
      <c r="R47" s="302"/>
      <c r="S47" s="303"/>
      <c r="T47" s="291"/>
    </row>
    <row r="48" spans="2:20" ht="14.25" customHeight="1">
      <c r="B48" s="267"/>
      <c r="C48" s="230"/>
      <c r="D48" s="230"/>
      <c r="E48" s="63">
        <v>2</v>
      </c>
      <c r="F48" s="306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5"/>
      <c r="L48" s="275"/>
      <c r="M48" s="275"/>
      <c r="N48" s="299"/>
      <c r="O48" s="275"/>
      <c r="P48" s="275"/>
      <c r="Q48" s="275"/>
      <c r="R48" s="302"/>
      <c r="S48" s="303"/>
      <c r="T48" s="291"/>
    </row>
    <row r="49" spans="2:20" ht="14.25" customHeight="1">
      <c r="B49" s="267"/>
      <c r="C49" s="230"/>
      <c r="D49" s="270"/>
      <c r="E49" s="64">
        <v>3</v>
      </c>
      <c r="F49" s="307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6"/>
      <c r="L49" s="276"/>
      <c r="M49" s="276"/>
      <c r="N49" s="300"/>
      <c r="O49" s="276"/>
      <c r="P49" s="276"/>
      <c r="Q49" s="276"/>
      <c r="R49" s="302"/>
      <c r="S49" s="304"/>
      <c r="T49" s="293"/>
    </row>
    <row r="50" spans="2:20" ht="14.25" customHeight="1">
      <c r="B50" s="267"/>
      <c r="C50" s="230"/>
      <c r="D50" s="230" t="s">
        <v>41</v>
      </c>
      <c r="E50" s="73">
        <v>1</v>
      </c>
      <c r="F50" s="308" t="str">
        <f>IFERROR(LEFT(總表!$E27,FIND("+",總表!$E27)-1),總表!$E27)</f>
        <v>蘿蔔黑輪湯</v>
      </c>
      <c r="G50" s="21" t="str">
        <f>IFERROR(IF(VLOOKUP($E50&amp;+$F$50,依據!$A:$C,3,FALSE)=0,"",VLOOKUP($E50&amp;+$F$50,依據!$A:$C,3,FALSE)),"")</f>
        <v>白蘿蔔</v>
      </c>
      <c r="H50" s="21">
        <f>IFERROR(IF(VLOOKUP($E50&amp;+$F$50,依據!$A:$D,4,FALSE)=0,"",(VLOOKUP($E50&amp;+$F$50,依據!$A:$D,4,FALSE))),"")</f>
        <v>3</v>
      </c>
      <c r="I50" s="20" t="str">
        <f>IFERROR(IF(VLOOKUP($E50&amp;+$F$50,依據!$A:$E,5,FALSE)=0,"",VLOOKUP($E50&amp;+$F$50,依據!$A:$E,5,FALSE)),"")</f>
        <v>芹菜珠</v>
      </c>
      <c r="J50" s="34">
        <f>IFERROR(IF(VLOOKUP($E50&amp;+$F$50,依據!$A:$F,6,FALSE)=0,"",(VLOOKUP($E50&amp;+$F$50,依據!$A:$F,6,FALSE))),"")</f>
        <v>0.1</v>
      </c>
      <c r="K50" s="274">
        <f>IF($F50="不供餐","",IFERROR(VLOOKUP($F50,依據!$B:L,11,FALSE),0)+IFERROR(VLOOKUP($F53,依據!$B:L,11,FALSE),0))</f>
        <v>0</v>
      </c>
      <c r="L50" s="277">
        <f>IF($F50="不供餐","",IFERROR(VLOOKUP($F50,依據!$B:M,12,FALSE),0)+IFERROR(VLOOKUP($F53,依據!$B:M,12,FALSE),0))</f>
        <v>0.22857142857142859</v>
      </c>
      <c r="M50" s="277">
        <f>IF($F50="不供餐","",IFERROR(VLOOKUP($F50,依據!$B:N,13,FALSE),0)+IFERROR(VLOOKUP($F53,依據!$B:N,13,FALSE),0))</f>
        <v>0</v>
      </c>
      <c r="N50" s="298">
        <f>IF($F50="不供餐","",IFERROR(VLOOKUP($F50,依據!$B:O,14,FALSE),0)+IFERROR(VLOOKUP($F53,依據!$B:O,14,FALSE),0))</f>
        <v>0.04</v>
      </c>
      <c r="O50" s="277">
        <f>IF($F50="不供餐","",IFERROR(VLOOKUP($F50,依據!$B:P,15,FALSE),0)+IFERROR(VLOOKUP($F53,依據!$B:P,15,FALSE),0))</f>
        <v>0</v>
      </c>
      <c r="P50" s="277">
        <f>IF($F50="不供餐","",IFERROR(VLOOKUP($F50,依據!$B:Q,16,FALSE),0)+IFERROR(VLOOKUP($F53,依據!$B:Q,16,FALSE),0))</f>
        <v>0</v>
      </c>
      <c r="Q50" s="277">
        <f>IF($F50="不供餐","",IFERROR(VLOOKUP($F50,依據!$B:R,17,FALSE),0)+IFERROR(VLOOKUP($F53,依據!$B:R,17,FALSE),0))</f>
        <v>0</v>
      </c>
      <c r="R50" s="301">
        <f>IF($F50="不供餐","",SUM(K50*70+L50*75+M50*120+N50*25+O50*60+P50*45+Q50*4))</f>
        <v>18.142857142857146</v>
      </c>
      <c r="S50" s="303" t="str">
        <f>_xlfn.IFS(COUNTIF($F50,"水果拼盤")=1,"水果3種",(COUNTIF($F50,"水果拼盤"))=0,"")</f>
        <v/>
      </c>
      <c r="T50" s="291"/>
    </row>
    <row r="51" spans="2:20" ht="14.25" customHeight="1">
      <c r="B51" s="267"/>
      <c r="C51" s="230"/>
      <c r="D51" s="230"/>
      <c r="E51" s="63">
        <v>2</v>
      </c>
      <c r="F51" s="309"/>
      <c r="G51" s="22" t="str">
        <f>IFERROR(IF(VLOOKUP($E51&amp;+$F$50,依據!$A:$C,3,FALSE)=0,"",VLOOKUP($E51&amp;+$F$50,依據!$A:$C,3,FALSE)),"")</f>
        <v>黑輪</v>
      </c>
      <c r="H51" s="22">
        <f>IFERROR(IF(VLOOKUP($E51&amp;+$F$50,依據!$A:$D,4,FALSE)=0,"",(VLOOKUP($E51&amp;+$F$50,依據!$A:$D,4,FALSE))),"")</f>
        <v>0.8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5"/>
      <c r="L51" s="275"/>
      <c r="M51" s="275"/>
      <c r="N51" s="299"/>
      <c r="O51" s="275"/>
      <c r="P51" s="275"/>
      <c r="Q51" s="275"/>
      <c r="R51" s="302"/>
      <c r="S51" s="303"/>
      <c r="T51" s="291"/>
    </row>
    <row r="52" spans="2:20" ht="14.25" customHeight="1">
      <c r="B52" s="267"/>
      <c r="C52" s="230"/>
      <c r="D52" s="230"/>
      <c r="E52" s="63">
        <v>3</v>
      </c>
      <c r="F52" s="310"/>
      <c r="G52" s="24" t="str">
        <f>IFERROR(IF(VLOOKUP($E52&amp;+$F$50,依據!$A:$C,3,FALSE)=0,"",VLOOKUP($E52&amp;+$F$50,依據!$A:$C,3,FALSE)),"")</f>
        <v>紅蘿蔔</v>
      </c>
      <c r="H52" s="24">
        <f>IFERROR(IF(VLOOKUP($E52&amp;+$F$50,依據!$A:$D,4,FALSE)=0,"",(VLOOKUP($E52&amp;+$F$50,依據!$A:$D,4,FALSE))),"")</f>
        <v>0.2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5"/>
      <c r="L52" s="275"/>
      <c r="M52" s="275"/>
      <c r="N52" s="299"/>
      <c r="O52" s="275"/>
      <c r="P52" s="275"/>
      <c r="Q52" s="275"/>
      <c r="R52" s="302"/>
      <c r="S52" s="303"/>
      <c r="T52" s="291"/>
    </row>
    <row r="53" spans="2:20" ht="14.25" customHeight="1">
      <c r="B53" s="267"/>
      <c r="C53" s="230"/>
      <c r="D53" s="230"/>
      <c r="E53" s="63">
        <v>1</v>
      </c>
      <c r="F53" s="311">
        <f>IFERROR(IF(FIND("+",總表!$E27)&gt;0,RIGHT(總表!$E27,LEN(總表!$E27)-FIND("+",總表!$E27)),""),0)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5"/>
      <c r="L53" s="275"/>
      <c r="M53" s="275"/>
      <c r="N53" s="299"/>
      <c r="O53" s="275"/>
      <c r="P53" s="275"/>
      <c r="Q53" s="275"/>
      <c r="R53" s="302"/>
      <c r="S53" s="303"/>
      <c r="T53" s="291"/>
    </row>
    <row r="54" spans="2:20" ht="14.25" customHeight="1">
      <c r="B54" s="267"/>
      <c r="C54" s="230"/>
      <c r="D54" s="230"/>
      <c r="E54" s="63">
        <v>2</v>
      </c>
      <c r="F54" s="312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5"/>
      <c r="L54" s="275"/>
      <c r="M54" s="275"/>
      <c r="N54" s="299"/>
      <c r="O54" s="275"/>
      <c r="P54" s="275"/>
      <c r="Q54" s="275"/>
      <c r="R54" s="302"/>
      <c r="S54" s="303"/>
      <c r="T54" s="291"/>
    </row>
    <row r="55" spans="2:20" ht="14.25" customHeight="1">
      <c r="B55" s="268"/>
      <c r="C55" s="270"/>
      <c r="D55" s="270"/>
      <c r="E55" s="64">
        <v>3</v>
      </c>
      <c r="F55" s="313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6"/>
      <c r="L55" s="276"/>
      <c r="M55" s="276"/>
      <c r="N55" s="300"/>
      <c r="O55" s="276"/>
      <c r="P55" s="276"/>
      <c r="Q55" s="276"/>
      <c r="R55" s="302"/>
      <c r="S55" s="304"/>
      <c r="T55" s="293"/>
    </row>
    <row r="56" spans="2:20" ht="14.25" customHeight="1">
      <c r="B56" s="314">
        <f t="shared" ref="B56" si="2">DATE(YEAR(B44),MONTH(B44),DAY(B44)+1)</f>
        <v>45282</v>
      </c>
      <c r="C56" s="282" t="s">
        <v>18</v>
      </c>
      <c r="D56" s="315" t="s">
        <v>40</v>
      </c>
      <c r="E56" s="73">
        <v>1</v>
      </c>
      <c r="F56" s="329" t="str">
        <f>LEFT(總表!$D28,IF(F59=0,LEN(總表!$D28)+3,LEN(總表!$D28)-3))</f>
        <v>麵線羹</v>
      </c>
      <c r="G56" s="21" t="str">
        <f>IFERROR(IF(VLOOKUP($E56&amp;+$F$56,依據!$A:$C,3,FALSE)=0,"",VLOOKUP($E56&amp;+$F$56,依據!$A:$C,3,FALSE)),"")</f>
        <v>紅麵線</v>
      </c>
      <c r="H56" s="21">
        <f>IFERROR(IF(VLOOKUP($E56&amp;+$F$56,依據!$A:$D,4,FALSE)=0,"",(VLOOKUP($E56&amp;+$F$56,依據!$A:$D,4,FALSE))),"")</f>
        <v>1</v>
      </c>
      <c r="I56" s="20" t="str">
        <f>IFERROR(IF(VLOOKUP($E56&amp;+$F$56,依據!$A:$E,5,FALSE)=0,"",VLOOKUP($E56&amp;+$F$56,依據!$A:$E,5,FALSE)),"")</f>
        <v>黑木耳</v>
      </c>
      <c r="J56" s="34">
        <f>IFERROR(IF(VLOOKUP($E56&amp;+$F$56,依據!$A:$F,6,FALSE)=0,"",(VLOOKUP($E56&amp;+$F$56,依據!$A:$F,6,FALSE))),"")</f>
        <v>0.2</v>
      </c>
      <c r="K56" s="274">
        <f>IF($F56="不供餐","",IFERROR(VLOOKUP($F56,依據!$B:L,11,FALSE),0)+IFERROR(VLOOKUP($F59,依據!$B:L,11,FALSE),0))</f>
        <v>0.8</v>
      </c>
      <c r="L56" s="277">
        <f>IF($F56="不供餐","",IFERROR(VLOOKUP($F56,依據!$B:M,12,FALSE),0)+IFERROR(VLOOKUP($F59,依據!$B:M,12,FALSE),0))</f>
        <v>0.48</v>
      </c>
      <c r="M56" s="277">
        <f>IF($F56="不供餐","",IFERROR(VLOOKUP($F56,依據!$B:N,13,FALSE),0)+IFERROR(VLOOKUP($F59,依據!$B:N,13,FALSE),0))</f>
        <v>0</v>
      </c>
      <c r="N56" s="298">
        <f>IF($F56="不供餐","",IFERROR(VLOOKUP($F56,依據!$B:O,14,FALSE),0)+IFERROR(VLOOKUP($F59,依據!$B:O,14,FALSE),0))</f>
        <v>0.08</v>
      </c>
      <c r="O56" s="277">
        <f>IF($F56="不供餐","",IFERROR(VLOOKUP($F56,依據!$B:P,15,FALSE),0)+IFERROR(VLOOKUP($F59,依據!$B:P,15,FALSE),0))</f>
        <v>1.04</v>
      </c>
      <c r="P56" s="277">
        <f>IF($F56="不供餐","",IFERROR(VLOOKUP($F56,依據!$B:Q,16,FALSE),0)+IFERROR(VLOOKUP($F59,依據!$B:Q,16,FALSE),0))</f>
        <v>0</v>
      </c>
      <c r="Q56" s="277">
        <f>IF($F56="不供餐","",IFERROR(VLOOKUP($F56,依據!$B:R,17,FALSE),0)+IFERROR(VLOOKUP($F59,依據!$B:R,17,FALSE),0))</f>
        <v>0</v>
      </c>
      <c r="R56" s="301">
        <f>IF($F56="不供餐","",SUM(K56*70+L56*75+M56*120+N56*25+O56*60+P56*45+Q56*4))</f>
        <v>156.4</v>
      </c>
      <c r="S56" s="303" t="str">
        <f>_xlfn.IFS(COUNTIF($F59,"水果")=1,"水果1種",(COUNTIF($F59,"水果"))=0,"")</f>
        <v>水果1種</v>
      </c>
      <c r="T56" s="291"/>
    </row>
    <row r="57" spans="2:20" ht="14.25" customHeight="1">
      <c r="B57" s="267"/>
      <c r="C57" s="283"/>
      <c r="D57" s="230"/>
      <c r="E57" s="63">
        <v>2</v>
      </c>
      <c r="F57" s="330"/>
      <c r="G57" s="22" t="str">
        <f>IFERROR(IF(VLOOKUP($E57&amp;+$F$56,依據!$A:$C,3,FALSE)=0,"",VLOOKUP($E57&amp;+$F$56,依據!$A:$C,3,FALSE)),"")</f>
        <v>香菜</v>
      </c>
      <c r="H57" s="22">
        <f>IFERROR(IF(VLOOKUP($E57&amp;+$F$56,依據!$A:$D,4,FALSE)=0,"",(VLOOKUP($E57&amp;+$F$56,依據!$A:$D,4,FALSE))),"")</f>
        <v>0.1</v>
      </c>
      <c r="I57" s="23" t="str">
        <f>IFERROR(IF(VLOOKUP($E57&amp;+$F$56,依據!$A:$E,5,FALSE)=0,"",VLOOKUP($E57&amp;+$F$56,依據!$A:$E,5,FALSE)),"")</f>
        <v>肉羹</v>
      </c>
      <c r="J57" s="36">
        <f>IFERROR(IF(VLOOKUP($E57&amp;+$F$56,依據!$A:$F,6,FALSE)=0,"",(VLOOKUP($E57&amp;+$F$56,依據!$A:$F,6,FALSE))),"")</f>
        <v>1.2</v>
      </c>
      <c r="K57" s="275"/>
      <c r="L57" s="275"/>
      <c r="M57" s="275"/>
      <c r="N57" s="299"/>
      <c r="O57" s="275"/>
      <c r="P57" s="275"/>
      <c r="Q57" s="275"/>
      <c r="R57" s="302"/>
      <c r="S57" s="303"/>
      <c r="T57" s="291"/>
    </row>
    <row r="58" spans="2:20" ht="14.25" customHeight="1">
      <c r="B58" s="267"/>
      <c r="C58" s="283"/>
      <c r="D58" s="230"/>
      <c r="E58" s="63">
        <v>3</v>
      </c>
      <c r="F58" s="331"/>
      <c r="G58" s="24" t="str">
        <f>IFERROR(IF(VLOOKUP($E58&amp;+$F$56,依據!$A:$C,3,FALSE)=0,"",VLOOKUP($E58&amp;+$F$56,依據!$A:$C,3,FALSE)),"")</f>
        <v>白蘿蔔</v>
      </c>
      <c r="H58" s="24">
        <f>IFERROR(IF(VLOOKUP($E58&amp;+$F$56,依據!$A:$D,4,FALSE)=0,"",(VLOOKUP($E58&amp;+$F$56,依據!$A:$D,4,FALSE))),"")</f>
        <v>0.6</v>
      </c>
      <c r="I58" s="25" t="str">
        <f>IFERROR(IF(VLOOKUP($E58&amp;+$F$56,依據!$A:$E,5,FALSE)=0,"",VLOOKUP($E58&amp;+$F$56,依據!$A:$E,5,FALSE)),"")</f>
        <v>蒜泥</v>
      </c>
      <c r="J58" s="37">
        <f>IFERROR(IF(VLOOKUP($E58&amp;+$F$56,依據!$A:$F,6,FALSE)=0,"",(VLOOKUP($E58&amp;+$F$56,依據!$A:$F,6,FALSE))),"")</f>
        <v>0.1</v>
      </c>
      <c r="K58" s="275"/>
      <c r="L58" s="275"/>
      <c r="M58" s="275"/>
      <c r="N58" s="299"/>
      <c r="O58" s="275"/>
      <c r="P58" s="275"/>
      <c r="Q58" s="275"/>
      <c r="R58" s="302"/>
      <c r="S58" s="303"/>
      <c r="T58" s="291"/>
    </row>
    <row r="59" spans="2:20" ht="14.25" customHeight="1">
      <c r="B59" s="267"/>
      <c r="C59" s="283"/>
      <c r="D59" s="230"/>
      <c r="E59" s="63">
        <v>1</v>
      </c>
      <c r="F59" s="316" t="str">
        <f>IFERROR(IF(FIND("+水果",總表!$D28)&gt;0,"水果",""),0)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1249</v>
      </c>
      <c r="I59" s="20" t="s">
        <v>85</v>
      </c>
      <c r="J59" s="34">
        <v>0.6</v>
      </c>
      <c r="K59" s="275"/>
      <c r="L59" s="275"/>
      <c r="M59" s="275"/>
      <c r="N59" s="299"/>
      <c r="O59" s="275"/>
      <c r="P59" s="275"/>
      <c r="Q59" s="275"/>
      <c r="R59" s="302"/>
      <c r="S59" s="303"/>
      <c r="T59" s="291"/>
    </row>
    <row r="60" spans="2:20" ht="14.25" customHeight="1">
      <c r="B60" s="267"/>
      <c r="C60" s="283"/>
      <c r="D60" s="230"/>
      <c r="E60" s="63">
        <v>2</v>
      </c>
      <c r="F60" s="306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5"/>
      <c r="L60" s="275"/>
      <c r="M60" s="275"/>
      <c r="N60" s="299"/>
      <c r="O60" s="275"/>
      <c r="P60" s="275"/>
      <c r="Q60" s="275"/>
      <c r="R60" s="302"/>
      <c r="S60" s="303"/>
      <c r="T60" s="291"/>
    </row>
    <row r="61" spans="2:20" ht="14.25" customHeight="1">
      <c r="B61" s="267"/>
      <c r="C61" s="283"/>
      <c r="D61" s="270"/>
      <c r="E61" s="64">
        <v>3</v>
      </c>
      <c r="F61" s="307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6"/>
      <c r="L61" s="276"/>
      <c r="M61" s="276"/>
      <c r="N61" s="300"/>
      <c r="O61" s="276"/>
      <c r="P61" s="276"/>
      <c r="Q61" s="276"/>
      <c r="R61" s="302"/>
      <c r="S61" s="304"/>
      <c r="T61" s="293"/>
    </row>
    <row r="62" spans="2:20" ht="14.25" customHeight="1">
      <c r="B62" s="267"/>
      <c r="C62" s="283"/>
      <c r="D62" s="230" t="s">
        <v>41</v>
      </c>
      <c r="E62" s="73">
        <v>1</v>
      </c>
      <c r="F62" s="308" t="str">
        <f>IFERROR(LEFT(總表!$E28,FIND("+",總表!$E28)-1),總表!$E28)</f>
        <v>綠豆薏仁湯</v>
      </c>
      <c r="G62" s="21" t="str">
        <f>IFERROR(IF(VLOOKUP($E62&amp;+$F$62,依據!$A:$C,3,FALSE)=0,"",VLOOKUP($E62&amp;+$F$62,依據!$A:$C,3,FALSE)),"")</f>
        <v>綠豆</v>
      </c>
      <c r="H62" s="21">
        <f>IFERROR(IF(VLOOKUP($E62&amp;+$F$62,依據!$A:$D,4,FALSE)=0,"",(VLOOKUP($E62&amp;+$F$62,依據!$A:$D,4,FALSE))),"")</f>
        <v>1.3</v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74">
        <v>2.2000000000000002</v>
      </c>
      <c r="L62" s="277">
        <f>IF($F62="不供餐","",IFERROR(VLOOKUP($F62,依據!$B:M,12,FALSE),0)+IFERROR(VLOOKUP($F65,依據!$B:M,12,FALSE),0))</f>
        <v>0</v>
      </c>
      <c r="M62" s="277">
        <f>IF($F62="不供餐","",IFERROR(VLOOKUP($F62,依據!$B:N,13,FALSE),0)+IFERROR(VLOOKUP($F65,依據!$B:N,13,FALSE),0))</f>
        <v>0</v>
      </c>
      <c r="N62" s="298">
        <f>IF($F62="不供餐","",IFERROR(VLOOKUP($F62,依據!$B:O,14,FALSE),0)+IFERROR(VLOOKUP($F65,依據!$B:O,14,FALSE),0))</f>
        <v>0</v>
      </c>
      <c r="O62" s="277">
        <f>IF($F62="不供餐","",IFERROR(VLOOKUP($F62,依據!$B:P,15,FALSE),0)+IFERROR(VLOOKUP($F65,依據!$B:P,15,FALSE),0))</f>
        <v>0</v>
      </c>
      <c r="P62" s="277">
        <f>IF($F62="不供餐","",IFERROR(VLOOKUP($F62,依據!$B:Q,16,FALSE),0)+IFERROR(VLOOKUP($F65,依據!$B:Q,16,FALSE),0))</f>
        <v>0</v>
      </c>
      <c r="Q62" s="277">
        <f>IF($F62="不供餐","",IFERROR(VLOOKUP($F62,依據!$B:R,17,FALSE),0)+IFERROR(VLOOKUP($F65,依據!$B:R,17,FALSE),0))</f>
        <v>10</v>
      </c>
      <c r="R62" s="301">
        <f>IF($F62="不供餐","",SUM(K62*70+L62*75+M62*120+N62*25+O62*60+P62*45+Q62*4))</f>
        <v>194</v>
      </c>
      <c r="S62" s="303" t="str">
        <f>_xlfn.IFS(COUNTIF($F62,"水果拼盤")=1,"水果3種",(COUNTIF($F62,"水果拼盤"))=0,"")</f>
        <v/>
      </c>
      <c r="T62" s="291"/>
    </row>
    <row r="63" spans="2:20" ht="14.25" customHeight="1">
      <c r="B63" s="267"/>
      <c r="C63" s="283"/>
      <c r="D63" s="230"/>
      <c r="E63" s="63">
        <v>2</v>
      </c>
      <c r="F63" s="309"/>
      <c r="G63" s="22" t="str">
        <f>IFERROR(IF(VLOOKUP($E63&amp;+$F$62,依據!$A:$C,3,FALSE)=0,"",VLOOKUP($E63&amp;+$F$62,依據!$A:$C,3,FALSE)),"")</f>
        <v>二砂糖</v>
      </c>
      <c r="H63" s="22">
        <f>IFERROR(IF(VLOOKUP($E63&amp;+$F$62,依據!$A:$D,4,FALSE)=0,"",(VLOOKUP($E63&amp;+$F$62,依據!$A:$D,4,FALSE))),"")</f>
        <v>0.5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5"/>
      <c r="L63" s="275"/>
      <c r="M63" s="275"/>
      <c r="N63" s="299"/>
      <c r="O63" s="275"/>
      <c r="P63" s="275"/>
      <c r="Q63" s="275"/>
      <c r="R63" s="302"/>
      <c r="S63" s="303"/>
      <c r="T63" s="291"/>
    </row>
    <row r="64" spans="2:20" ht="14.25" customHeight="1">
      <c r="B64" s="267"/>
      <c r="C64" s="283"/>
      <c r="D64" s="230"/>
      <c r="E64" s="63">
        <v>3</v>
      </c>
      <c r="F64" s="310"/>
      <c r="G64" s="24" t="str">
        <f>IFERROR(IF(VLOOKUP($E64&amp;+$F$62,依據!$A:$C,3,FALSE)=0,"",VLOOKUP($E64&amp;+$F$62,依據!$A:$C,3,FALSE)),"")</f>
        <v>小薏仁</v>
      </c>
      <c r="H64" s="24">
        <f>IFERROR(IF(VLOOKUP($E64&amp;+$F$62,依據!$A:$D,4,FALSE)=0,"",(VLOOKUP($E64&amp;+$F$62,依據!$A:$D,4,FALSE))),"")</f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5"/>
      <c r="L64" s="275"/>
      <c r="M64" s="275"/>
      <c r="N64" s="299"/>
      <c r="O64" s="275"/>
      <c r="P64" s="275"/>
      <c r="Q64" s="275"/>
      <c r="R64" s="302"/>
      <c r="S64" s="303"/>
      <c r="T64" s="291"/>
    </row>
    <row r="65" spans="2:20" ht="14.25" customHeight="1">
      <c r="B65" s="267"/>
      <c r="C65" s="283"/>
      <c r="D65" s="230"/>
      <c r="E65" s="63">
        <v>1</v>
      </c>
      <c r="F65" s="311">
        <f>IFERROR(IF(FIND("+",總表!$E28)&gt;0,RIGHT(總表!$E28,LEN(總表!$E28)-FIND("+",總表!$E28)),""),0)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5"/>
      <c r="L65" s="275"/>
      <c r="M65" s="275"/>
      <c r="N65" s="299"/>
      <c r="O65" s="275"/>
      <c r="P65" s="275"/>
      <c r="Q65" s="275"/>
      <c r="R65" s="302"/>
      <c r="S65" s="303"/>
      <c r="T65" s="291"/>
    </row>
    <row r="66" spans="2:20" ht="14.25" customHeight="1">
      <c r="B66" s="267"/>
      <c r="C66" s="283"/>
      <c r="D66" s="230"/>
      <c r="E66" s="63">
        <v>2</v>
      </c>
      <c r="F66" s="312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5"/>
      <c r="L66" s="275"/>
      <c r="M66" s="275"/>
      <c r="N66" s="299"/>
      <c r="O66" s="275"/>
      <c r="P66" s="275"/>
      <c r="Q66" s="275"/>
      <c r="R66" s="302"/>
      <c r="S66" s="303"/>
      <c r="T66" s="291"/>
    </row>
    <row r="67" spans="2:20" ht="14.25" customHeight="1">
      <c r="B67" s="268"/>
      <c r="C67" s="284"/>
      <c r="D67" s="270"/>
      <c r="E67" s="64">
        <v>3</v>
      </c>
      <c r="F67" s="313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6"/>
      <c r="L67" s="276"/>
      <c r="M67" s="276"/>
      <c r="N67" s="300"/>
      <c r="O67" s="276"/>
      <c r="P67" s="276"/>
      <c r="Q67" s="276"/>
      <c r="R67" s="302"/>
      <c r="S67" s="304"/>
      <c r="T67" s="293"/>
    </row>
    <row r="68" spans="2:20" ht="14.25" customHeight="1">
      <c r="B68" s="314">
        <f t="shared" ref="B68" si="3">DATE(YEAR(B56),MONTH(B56),DAY(B56)+1)</f>
        <v>45283</v>
      </c>
      <c r="C68" s="282" t="s">
        <v>103</v>
      </c>
      <c r="D68" s="315" t="s">
        <v>40</v>
      </c>
      <c r="E68" s="73">
        <v>1</v>
      </c>
      <c r="F68" s="271" t="str">
        <f>LEFT(總表!$D29,IF(F71=0,LEN(總表!$D29)+3,LEN(總表!$D29)-3))</f>
        <v>銅鑼燒</v>
      </c>
      <c r="G68" s="21" t="str">
        <f>IFERROR(IF(VLOOKUP($E68&amp;+$F$68,依據!$A:$C,3,FALSE)=0,"",VLOOKUP($E68&amp;+$F$68,依據!$A:$C,3,FALSE)),"")</f>
        <v>銅鑼燒</v>
      </c>
      <c r="H68" s="21" t="str">
        <f>IFERROR(IF(VLOOKUP($E68&amp;+$F$68,依據!$A:$D,4,FALSE)=0,"",(VLOOKUP($E68&amp;+$F$68,依據!$A:$D,4,FALSE))),"")</f>
        <v>52個</v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74">
        <v>0.6</v>
      </c>
      <c r="L68" s="277">
        <v>0.5</v>
      </c>
      <c r="M68" s="277">
        <v>0</v>
      </c>
      <c r="N68" s="298">
        <v>0.5</v>
      </c>
      <c r="O68" s="277">
        <v>1</v>
      </c>
      <c r="P68" s="277">
        <v>0</v>
      </c>
      <c r="Q68" s="277">
        <v>0</v>
      </c>
      <c r="R68" s="301">
        <v>152</v>
      </c>
      <c r="S68" s="303" t="s">
        <v>1150</v>
      </c>
      <c r="T68" s="291"/>
    </row>
    <row r="69" spans="2:20" ht="14.25" customHeight="1">
      <c r="B69" s="267"/>
      <c r="C69" s="283"/>
      <c r="D69" s="230"/>
      <c r="E69" s="63">
        <v>2</v>
      </c>
      <c r="F69" s="272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5"/>
      <c r="L69" s="275"/>
      <c r="M69" s="275"/>
      <c r="N69" s="299"/>
      <c r="O69" s="275"/>
      <c r="P69" s="275"/>
      <c r="Q69" s="275"/>
      <c r="R69" s="302"/>
      <c r="S69" s="303"/>
      <c r="T69" s="291"/>
    </row>
    <row r="70" spans="2:20" ht="14.25" customHeight="1">
      <c r="B70" s="267"/>
      <c r="C70" s="283"/>
      <c r="D70" s="230"/>
      <c r="E70" s="63">
        <v>3</v>
      </c>
      <c r="F70" s="273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5"/>
      <c r="L70" s="275"/>
      <c r="M70" s="275"/>
      <c r="N70" s="299"/>
      <c r="O70" s="275"/>
      <c r="P70" s="275"/>
      <c r="Q70" s="275"/>
      <c r="R70" s="302"/>
      <c r="S70" s="303"/>
      <c r="T70" s="291"/>
    </row>
    <row r="71" spans="2:20" ht="14.25" customHeight="1">
      <c r="B71" s="267"/>
      <c r="C71" s="283"/>
      <c r="D71" s="230"/>
      <c r="E71" s="63">
        <v>1</v>
      </c>
      <c r="F71" s="316">
        <f>IFERROR(IF(FIND("+水果",總表!$D29)&gt;0,"水果",""),0)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5"/>
      <c r="L71" s="275"/>
      <c r="M71" s="275"/>
      <c r="N71" s="299"/>
      <c r="O71" s="275"/>
      <c r="P71" s="275"/>
      <c r="Q71" s="275"/>
      <c r="R71" s="302"/>
      <c r="S71" s="303"/>
      <c r="T71" s="291"/>
    </row>
    <row r="72" spans="2:20" ht="14.25" customHeight="1">
      <c r="B72" s="267"/>
      <c r="C72" s="283"/>
      <c r="D72" s="230"/>
      <c r="E72" s="63">
        <v>2</v>
      </c>
      <c r="F72" s="306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5"/>
      <c r="L72" s="275"/>
      <c r="M72" s="275"/>
      <c r="N72" s="299"/>
      <c r="O72" s="275"/>
      <c r="P72" s="275"/>
      <c r="Q72" s="275"/>
      <c r="R72" s="302"/>
      <c r="S72" s="303"/>
      <c r="T72" s="291"/>
    </row>
    <row r="73" spans="2:20" ht="14.25" customHeight="1">
      <c r="B73" s="267"/>
      <c r="C73" s="283"/>
      <c r="D73" s="270"/>
      <c r="E73" s="64">
        <v>3</v>
      </c>
      <c r="F73" s="307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6"/>
      <c r="L73" s="276"/>
      <c r="M73" s="276"/>
      <c r="N73" s="300"/>
      <c r="O73" s="276"/>
      <c r="P73" s="276"/>
      <c r="Q73" s="276"/>
      <c r="R73" s="302"/>
      <c r="S73" s="304"/>
      <c r="T73" s="293"/>
    </row>
    <row r="74" spans="2:20" ht="14.25" customHeight="1">
      <c r="B74" s="267"/>
      <c r="C74" s="283"/>
      <c r="D74" s="230" t="s">
        <v>41</v>
      </c>
      <c r="E74" s="73">
        <v>1</v>
      </c>
      <c r="F74" s="308" t="str">
        <f>IFERROR(LEFT(總表!$E29,FIND("+",總表!$E29)-1),總表!$E29)</f>
        <v>果汁</v>
      </c>
      <c r="G74" s="21" t="s">
        <v>1262</v>
      </c>
      <c r="H74" s="21" t="s">
        <v>1263</v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74">
        <f>IF($F74="不供餐","",IFERROR(VLOOKUP($F74,依據!$B:L,11,FALSE),0)+IFERROR(VLOOKUP($F77,依據!$B:L,11,FALSE),0))</f>
        <v>0</v>
      </c>
      <c r="L74" s="277">
        <f>IF($F74="不供餐","",IFERROR(VLOOKUP($F74,依據!$B:M,12,FALSE),0)+IFERROR(VLOOKUP($F77,依據!$B:M,12,FALSE),0))</f>
        <v>0</v>
      </c>
      <c r="M74" s="277">
        <f>IF($F74="不供餐","",IFERROR(VLOOKUP($F74,依據!$B:N,13,FALSE),0)+IFERROR(VLOOKUP($F77,依據!$B:N,13,FALSE),0))</f>
        <v>0</v>
      </c>
      <c r="N74" s="298">
        <f>IF($F74="不供餐","",IFERROR(VLOOKUP($F74,依據!$B:O,14,FALSE),0)+IFERROR(VLOOKUP($F77,依據!$B:O,14,FALSE),0))</f>
        <v>0</v>
      </c>
      <c r="O74" s="277">
        <f>IF($F74="不供餐","",IFERROR(VLOOKUP($F74,依據!$B:P,15,FALSE),0)+IFERROR(VLOOKUP($F77,依據!$B:P,15,FALSE),0))</f>
        <v>0</v>
      </c>
      <c r="P74" s="277">
        <f>IF($F74="不供餐","",IFERROR(VLOOKUP($F74,依據!$B:Q,16,FALSE),0)+IFERROR(VLOOKUP($F77,依據!$B:Q,16,FALSE),0))</f>
        <v>0</v>
      </c>
      <c r="Q74" s="277">
        <f>IF($F74="不供餐","",IFERROR(VLOOKUP($F74,依據!$B:R,17,FALSE),0)+IFERROR(VLOOKUP($F77,依據!$B:R,17,FALSE),0))</f>
        <v>0</v>
      </c>
      <c r="R74" s="301">
        <f>IF($F74="不供餐","",SUM(K74*70+L74*75+M74*120+N74*25+O74*60+P74*45+Q74*4))</f>
        <v>0</v>
      </c>
      <c r="S74" s="303" t="str">
        <f>_xlfn.IFS(COUNTIF($F74,"水果拼盤")=1,"水果3種",(COUNTIF($F74,"水果拼盤"))=0,"")</f>
        <v/>
      </c>
      <c r="T74" s="291"/>
    </row>
    <row r="75" spans="2:20" ht="14.25" customHeight="1">
      <c r="B75" s="267"/>
      <c r="C75" s="283"/>
      <c r="D75" s="230"/>
      <c r="E75" s="63">
        <v>2</v>
      </c>
      <c r="F75" s="309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5"/>
      <c r="L75" s="275"/>
      <c r="M75" s="275"/>
      <c r="N75" s="299"/>
      <c r="O75" s="275"/>
      <c r="P75" s="275"/>
      <c r="Q75" s="275"/>
      <c r="R75" s="302"/>
      <c r="S75" s="303"/>
      <c r="T75" s="291"/>
    </row>
    <row r="76" spans="2:20" ht="14.25" customHeight="1">
      <c r="B76" s="267"/>
      <c r="C76" s="283"/>
      <c r="D76" s="230"/>
      <c r="E76" s="63">
        <v>3</v>
      </c>
      <c r="F76" s="310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5"/>
      <c r="L76" s="275"/>
      <c r="M76" s="275"/>
      <c r="N76" s="299"/>
      <c r="O76" s="275"/>
      <c r="P76" s="275"/>
      <c r="Q76" s="275"/>
      <c r="R76" s="302"/>
      <c r="S76" s="303"/>
      <c r="T76" s="291"/>
    </row>
    <row r="77" spans="2:20" ht="14.25" customHeight="1">
      <c r="B77" s="267"/>
      <c r="C77" s="283"/>
      <c r="D77" s="230"/>
      <c r="E77" s="63">
        <v>1</v>
      </c>
      <c r="F77" s="311">
        <f>IFERROR(IF(FIND("+",總表!$E29)&gt;0,RIGHT(總表!$E29,LEN(總表!$E29)-FIND("+",總表!$E29)),""),0)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5"/>
      <c r="L77" s="275"/>
      <c r="M77" s="275"/>
      <c r="N77" s="299"/>
      <c r="O77" s="275"/>
      <c r="P77" s="275"/>
      <c r="Q77" s="275"/>
      <c r="R77" s="302"/>
      <c r="S77" s="303"/>
      <c r="T77" s="291"/>
    </row>
    <row r="78" spans="2:20" ht="14.25" customHeight="1">
      <c r="B78" s="267"/>
      <c r="C78" s="283"/>
      <c r="D78" s="230"/>
      <c r="E78" s="63">
        <v>2</v>
      </c>
      <c r="F78" s="312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5"/>
      <c r="L78" s="275"/>
      <c r="M78" s="275"/>
      <c r="N78" s="299"/>
      <c r="O78" s="275"/>
      <c r="P78" s="275"/>
      <c r="Q78" s="275"/>
      <c r="R78" s="302"/>
      <c r="S78" s="303"/>
      <c r="T78" s="291"/>
    </row>
    <row r="79" spans="2:20" ht="14.25" customHeight="1">
      <c r="B79" s="268"/>
      <c r="C79" s="284"/>
      <c r="D79" s="270"/>
      <c r="E79" s="64">
        <v>3</v>
      </c>
      <c r="F79" s="313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6"/>
      <c r="L79" s="276"/>
      <c r="M79" s="276"/>
      <c r="N79" s="300"/>
      <c r="O79" s="276"/>
      <c r="P79" s="276"/>
      <c r="Q79" s="276"/>
      <c r="R79" s="302"/>
      <c r="S79" s="304"/>
      <c r="T79" s="293"/>
    </row>
    <row r="80" spans="2:20" ht="14.25" customHeight="1">
      <c r="B80" s="320" t="s">
        <v>42</v>
      </c>
      <c r="C80" s="321"/>
      <c r="D80" s="321"/>
      <c r="E80" s="322"/>
      <c r="F80" s="323"/>
      <c r="G80" s="320" t="s">
        <v>43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3"/>
    </row>
    <row r="81" spans="2:20" ht="14.25" customHeight="1">
      <c r="B81" s="324"/>
      <c r="C81" s="325"/>
      <c r="D81" s="325"/>
      <c r="E81" s="325"/>
      <c r="F81" s="326"/>
      <c r="G81" s="324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</row>
    <row r="82" spans="2:20" ht="14.25" customHeight="1">
      <c r="B82" s="324"/>
      <c r="C82" s="325"/>
      <c r="D82" s="325"/>
      <c r="E82" s="325"/>
      <c r="F82" s="326"/>
      <c r="G82" s="324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</row>
    <row r="83" spans="2:20" ht="16.899999999999999" customHeight="1">
      <c r="B83" s="319" t="s">
        <v>14</v>
      </c>
      <c r="C83" s="319"/>
      <c r="D83" s="319"/>
      <c r="E83" s="319"/>
      <c r="F83" s="319"/>
      <c r="G83" s="319"/>
      <c r="H83" s="319"/>
      <c r="I83" s="319" t="s">
        <v>44</v>
      </c>
      <c r="J83" s="319"/>
      <c r="K83" s="319"/>
      <c r="L83" s="319"/>
      <c r="M83" s="319"/>
      <c r="N83" s="319"/>
      <c r="O83" s="319" t="s">
        <v>1269</v>
      </c>
      <c r="P83" s="319"/>
      <c r="Q83" s="319"/>
      <c r="R83" s="319"/>
      <c r="S83" s="319"/>
      <c r="T83" s="319"/>
    </row>
    <row r="84" spans="2:20">
      <c r="B84" s="10"/>
      <c r="E84" s="9"/>
      <c r="K84" s="9"/>
      <c r="L84" s="9"/>
      <c r="M84" s="9"/>
      <c r="N84" s="9"/>
      <c r="O84" s="9"/>
      <c r="P84" s="9"/>
      <c r="Q84" s="9"/>
      <c r="R84" s="9"/>
    </row>
  </sheetData>
  <sheetProtection formatCells="0" selectLockedCells="1" selectUnlockedCells="1"/>
  <mergeCells count="184">
    <mergeCell ref="S74:T79"/>
    <mergeCell ref="F77:F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Q44:Q49"/>
    <mergeCell ref="R44:R49"/>
    <mergeCell ref="R50:R55"/>
    <mergeCell ref="S50:T55"/>
    <mergeCell ref="F53:F55"/>
    <mergeCell ref="B56:B67"/>
    <mergeCell ref="C56:C67"/>
    <mergeCell ref="D56:D61"/>
    <mergeCell ref="F56:F58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R56:R61"/>
    <mergeCell ref="K50:K55"/>
    <mergeCell ref="L50:L55"/>
    <mergeCell ref="M50:M55"/>
    <mergeCell ref="N50:N55"/>
    <mergeCell ref="B83:H83"/>
    <mergeCell ref="I83:N83"/>
    <mergeCell ref="O83:T83"/>
    <mergeCell ref="B80:F82"/>
    <mergeCell ref="G80:T82"/>
    <mergeCell ref="Q62:Q67"/>
    <mergeCell ref="R62:R67"/>
    <mergeCell ref="S62:T67"/>
    <mergeCell ref="F65:F6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O50:O55"/>
    <mergeCell ref="P50:P55"/>
    <mergeCell ref="Q50:Q55"/>
    <mergeCell ref="K56:K61"/>
    <mergeCell ref="L56:L61"/>
    <mergeCell ref="M56:M61"/>
    <mergeCell ref="N56:N61"/>
    <mergeCell ref="O56:O61"/>
    <mergeCell ref="P56:P61"/>
    <mergeCell ref="Q56:Q6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146"/>
  <sheetViews>
    <sheetView zoomScaleNormal="100" workbookViewId="0">
      <pane xSplit="4" ySplit="7" topLeftCell="E80" activePane="bottomRight" state="frozen"/>
      <selection pane="topRight" activeCell="E1" sqref="E1"/>
      <selection pane="bottomLeft" activeCell="A8" sqref="A8"/>
      <selection pane="bottomRight" activeCell="O84" sqref="O84:T84"/>
    </sheetView>
  </sheetViews>
  <sheetFormatPr defaultColWidth="9" defaultRowHeight="16.5"/>
  <cols>
    <col min="1" max="1" width="14.875" style="2" customWidth="1"/>
    <col min="2" max="4" width="3.625" style="2" customWidth="1"/>
    <col min="5" max="5" width="3.625" style="13" hidden="1" customWidth="1"/>
    <col min="6" max="7" width="12.625" style="2" customWidth="1"/>
    <col min="8" max="8" width="10.12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customWidth="1"/>
    <col min="23" max="23" width="9.125" bestFit="1" customWidth="1"/>
    <col min="24" max="25" width="5.625" customWidth="1"/>
    <col min="26" max="26" width="9" style="2" customWidth="1"/>
    <col min="27" max="27" width="5.625" style="2" customWidth="1"/>
    <col min="28" max="28" width="9" style="2" customWidth="1"/>
    <col min="29" max="30" width="5.625" style="2" customWidth="1"/>
    <col min="31" max="31" width="9" style="2" customWidth="1"/>
    <col min="32" max="32" width="5.625" style="2" customWidth="1"/>
    <col min="33" max="33" width="9" style="2" customWidth="1"/>
    <col min="34" max="34" width="11.625" style="2" bestFit="1" customWidth="1"/>
    <col min="35" max="252" width="9" style="2"/>
    <col min="253" max="253" width="14.875" style="2" customWidth="1"/>
    <col min="254" max="256" width="3.625" style="2" customWidth="1"/>
    <col min="257" max="258" width="12.625" style="2" customWidth="1"/>
    <col min="259" max="259" width="6" style="2" customWidth="1"/>
    <col min="260" max="260" width="12.625" style="2" customWidth="1"/>
    <col min="261" max="261" width="6" style="2" customWidth="1"/>
    <col min="262" max="271" width="3.875" style="2" customWidth="1"/>
    <col min="272" max="272" width="2.5" style="2" customWidth="1"/>
    <col min="273" max="273" width="12.375" style="2" customWidth="1"/>
    <col min="274" max="274" width="9.125" style="2" bestFit="1" customWidth="1"/>
    <col min="275" max="276" width="9" style="2"/>
    <col min="277" max="277" width="4.5" style="2" bestFit="1" customWidth="1"/>
    <col min="278" max="278" width="9" style="2"/>
    <col min="279" max="279" width="4.5" style="2" bestFit="1" customWidth="1"/>
    <col min="280" max="281" width="5.625" style="2" customWidth="1"/>
    <col min="282" max="282" width="9" style="2"/>
    <col min="283" max="283" width="5.625" style="2" customWidth="1"/>
    <col min="284" max="284" width="9" style="2"/>
    <col min="285" max="286" width="5.625" style="2" customWidth="1"/>
    <col min="287" max="287" width="9" style="2"/>
    <col min="288" max="288" width="5.625" style="2" customWidth="1"/>
    <col min="289" max="289" width="9" style="2"/>
    <col min="290" max="290" width="11.625" style="2" bestFit="1" customWidth="1"/>
    <col min="291" max="508" width="9" style="2"/>
    <col min="509" max="509" width="14.875" style="2" customWidth="1"/>
    <col min="510" max="512" width="3.625" style="2" customWidth="1"/>
    <col min="513" max="514" width="12.625" style="2" customWidth="1"/>
    <col min="515" max="515" width="6" style="2" customWidth="1"/>
    <col min="516" max="516" width="12.625" style="2" customWidth="1"/>
    <col min="517" max="517" width="6" style="2" customWidth="1"/>
    <col min="518" max="527" width="3.875" style="2" customWidth="1"/>
    <col min="528" max="528" width="2.5" style="2" customWidth="1"/>
    <col min="529" max="529" width="12.375" style="2" customWidth="1"/>
    <col min="530" max="530" width="9.125" style="2" bestFit="1" customWidth="1"/>
    <col min="531" max="532" width="9" style="2"/>
    <col min="533" max="533" width="4.5" style="2" bestFit="1" customWidth="1"/>
    <col min="534" max="534" width="9" style="2"/>
    <col min="535" max="535" width="4.5" style="2" bestFit="1" customWidth="1"/>
    <col min="536" max="537" width="5.625" style="2" customWidth="1"/>
    <col min="538" max="538" width="9" style="2"/>
    <col min="539" max="539" width="5.625" style="2" customWidth="1"/>
    <col min="540" max="540" width="9" style="2"/>
    <col min="541" max="542" width="5.625" style="2" customWidth="1"/>
    <col min="543" max="543" width="9" style="2"/>
    <col min="544" max="544" width="5.625" style="2" customWidth="1"/>
    <col min="545" max="545" width="9" style="2"/>
    <col min="546" max="546" width="11.625" style="2" bestFit="1" customWidth="1"/>
    <col min="547" max="764" width="9" style="2"/>
    <col min="765" max="765" width="14.875" style="2" customWidth="1"/>
    <col min="766" max="768" width="3.625" style="2" customWidth="1"/>
    <col min="769" max="770" width="12.625" style="2" customWidth="1"/>
    <col min="771" max="771" width="6" style="2" customWidth="1"/>
    <col min="772" max="772" width="12.625" style="2" customWidth="1"/>
    <col min="773" max="773" width="6" style="2" customWidth="1"/>
    <col min="774" max="783" width="3.875" style="2" customWidth="1"/>
    <col min="784" max="784" width="2.5" style="2" customWidth="1"/>
    <col min="785" max="785" width="12.375" style="2" customWidth="1"/>
    <col min="786" max="786" width="9.125" style="2" bestFit="1" customWidth="1"/>
    <col min="787" max="788" width="9" style="2"/>
    <col min="789" max="789" width="4.5" style="2" bestFit="1" customWidth="1"/>
    <col min="790" max="790" width="9" style="2"/>
    <col min="791" max="791" width="4.5" style="2" bestFit="1" customWidth="1"/>
    <col min="792" max="793" width="5.625" style="2" customWidth="1"/>
    <col min="794" max="794" width="9" style="2"/>
    <col min="795" max="795" width="5.625" style="2" customWidth="1"/>
    <col min="796" max="796" width="9" style="2"/>
    <col min="797" max="798" width="5.625" style="2" customWidth="1"/>
    <col min="799" max="799" width="9" style="2"/>
    <col min="800" max="800" width="5.625" style="2" customWidth="1"/>
    <col min="801" max="801" width="9" style="2"/>
    <col min="802" max="802" width="11.625" style="2" bestFit="1" customWidth="1"/>
    <col min="803" max="1020" width="9" style="2"/>
    <col min="1021" max="1021" width="14.875" style="2" customWidth="1"/>
    <col min="1022" max="1024" width="3.625" style="2" customWidth="1"/>
    <col min="1025" max="1026" width="12.625" style="2" customWidth="1"/>
    <col min="1027" max="1027" width="6" style="2" customWidth="1"/>
    <col min="1028" max="1028" width="12.625" style="2" customWidth="1"/>
    <col min="1029" max="1029" width="6" style="2" customWidth="1"/>
    <col min="1030" max="1039" width="3.875" style="2" customWidth="1"/>
    <col min="1040" max="1040" width="2.5" style="2" customWidth="1"/>
    <col min="1041" max="1041" width="12.375" style="2" customWidth="1"/>
    <col min="1042" max="1042" width="9.125" style="2" bestFit="1" customWidth="1"/>
    <col min="1043" max="1044" width="9" style="2"/>
    <col min="1045" max="1045" width="4.5" style="2" bestFit="1" customWidth="1"/>
    <col min="1046" max="1046" width="9" style="2"/>
    <col min="1047" max="1047" width="4.5" style="2" bestFit="1" customWidth="1"/>
    <col min="1048" max="1049" width="5.625" style="2" customWidth="1"/>
    <col min="1050" max="1050" width="9" style="2"/>
    <col min="1051" max="1051" width="5.625" style="2" customWidth="1"/>
    <col min="1052" max="1052" width="9" style="2"/>
    <col min="1053" max="1054" width="5.625" style="2" customWidth="1"/>
    <col min="1055" max="1055" width="9" style="2"/>
    <col min="1056" max="1056" width="5.625" style="2" customWidth="1"/>
    <col min="1057" max="1057" width="9" style="2"/>
    <col min="1058" max="1058" width="11.625" style="2" bestFit="1" customWidth="1"/>
    <col min="1059" max="1276" width="9" style="2"/>
    <col min="1277" max="1277" width="14.875" style="2" customWidth="1"/>
    <col min="1278" max="1280" width="3.625" style="2" customWidth="1"/>
    <col min="1281" max="1282" width="12.625" style="2" customWidth="1"/>
    <col min="1283" max="1283" width="6" style="2" customWidth="1"/>
    <col min="1284" max="1284" width="12.625" style="2" customWidth="1"/>
    <col min="1285" max="1285" width="6" style="2" customWidth="1"/>
    <col min="1286" max="1295" width="3.875" style="2" customWidth="1"/>
    <col min="1296" max="1296" width="2.5" style="2" customWidth="1"/>
    <col min="1297" max="1297" width="12.375" style="2" customWidth="1"/>
    <col min="1298" max="1298" width="9.125" style="2" bestFit="1" customWidth="1"/>
    <col min="1299" max="1300" width="9" style="2"/>
    <col min="1301" max="1301" width="4.5" style="2" bestFit="1" customWidth="1"/>
    <col min="1302" max="1302" width="9" style="2"/>
    <col min="1303" max="1303" width="4.5" style="2" bestFit="1" customWidth="1"/>
    <col min="1304" max="1305" width="5.625" style="2" customWidth="1"/>
    <col min="1306" max="1306" width="9" style="2"/>
    <col min="1307" max="1307" width="5.625" style="2" customWidth="1"/>
    <col min="1308" max="1308" width="9" style="2"/>
    <col min="1309" max="1310" width="5.625" style="2" customWidth="1"/>
    <col min="1311" max="1311" width="9" style="2"/>
    <col min="1312" max="1312" width="5.625" style="2" customWidth="1"/>
    <col min="1313" max="1313" width="9" style="2"/>
    <col min="1314" max="1314" width="11.625" style="2" bestFit="1" customWidth="1"/>
    <col min="1315" max="1532" width="9" style="2"/>
    <col min="1533" max="1533" width="14.875" style="2" customWidth="1"/>
    <col min="1534" max="1536" width="3.625" style="2" customWidth="1"/>
    <col min="1537" max="1538" width="12.625" style="2" customWidth="1"/>
    <col min="1539" max="1539" width="6" style="2" customWidth="1"/>
    <col min="1540" max="1540" width="12.625" style="2" customWidth="1"/>
    <col min="1541" max="1541" width="6" style="2" customWidth="1"/>
    <col min="1542" max="1551" width="3.875" style="2" customWidth="1"/>
    <col min="1552" max="1552" width="2.5" style="2" customWidth="1"/>
    <col min="1553" max="1553" width="12.375" style="2" customWidth="1"/>
    <col min="1554" max="1554" width="9.125" style="2" bestFit="1" customWidth="1"/>
    <col min="1555" max="1556" width="9" style="2"/>
    <col min="1557" max="1557" width="4.5" style="2" bestFit="1" customWidth="1"/>
    <col min="1558" max="1558" width="9" style="2"/>
    <col min="1559" max="1559" width="4.5" style="2" bestFit="1" customWidth="1"/>
    <col min="1560" max="1561" width="5.625" style="2" customWidth="1"/>
    <col min="1562" max="1562" width="9" style="2"/>
    <col min="1563" max="1563" width="5.625" style="2" customWidth="1"/>
    <col min="1564" max="1564" width="9" style="2"/>
    <col min="1565" max="1566" width="5.625" style="2" customWidth="1"/>
    <col min="1567" max="1567" width="9" style="2"/>
    <col min="1568" max="1568" width="5.625" style="2" customWidth="1"/>
    <col min="1569" max="1569" width="9" style="2"/>
    <col min="1570" max="1570" width="11.625" style="2" bestFit="1" customWidth="1"/>
    <col min="1571" max="1788" width="9" style="2"/>
    <col min="1789" max="1789" width="14.875" style="2" customWidth="1"/>
    <col min="1790" max="1792" width="3.625" style="2" customWidth="1"/>
    <col min="1793" max="1794" width="12.625" style="2" customWidth="1"/>
    <col min="1795" max="1795" width="6" style="2" customWidth="1"/>
    <col min="1796" max="1796" width="12.625" style="2" customWidth="1"/>
    <col min="1797" max="1797" width="6" style="2" customWidth="1"/>
    <col min="1798" max="1807" width="3.875" style="2" customWidth="1"/>
    <col min="1808" max="1808" width="2.5" style="2" customWidth="1"/>
    <col min="1809" max="1809" width="12.375" style="2" customWidth="1"/>
    <col min="1810" max="1810" width="9.125" style="2" bestFit="1" customWidth="1"/>
    <col min="1811" max="1812" width="9" style="2"/>
    <col min="1813" max="1813" width="4.5" style="2" bestFit="1" customWidth="1"/>
    <col min="1814" max="1814" width="9" style="2"/>
    <col min="1815" max="1815" width="4.5" style="2" bestFit="1" customWidth="1"/>
    <col min="1816" max="1817" width="5.625" style="2" customWidth="1"/>
    <col min="1818" max="1818" width="9" style="2"/>
    <col min="1819" max="1819" width="5.625" style="2" customWidth="1"/>
    <col min="1820" max="1820" width="9" style="2"/>
    <col min="1821" max="1822" width="5.625" style="2" customWidth="1"/>
    <col min="1823" max="1823" width="9" style="2"/>
    <col min="1824" max="1824" width="5.625" style="2" customWidth="1"/>
    <col min="1825" max="1825" width="9" style="2"/>
    <col min="1826" max="1826" width="11.625" style="2" bestFit="1" customWidth="1"/>
    <col min="1827" max="2044" width="9" style="2"/>
    <col min="2045" max="2045" width="14.875" style="2" customWidth="1"/>
    <col min="2046" max="2048" width="3.625" style="2" customWidth="1"/>
    <col min="2049" max="2050" width="12.625" style="2" customWidth="1"/>
    <col min="2051" max="2051" width="6" style="2" customWidth="1"/>
    <col min="2052" max="2052" width="12.625" style="2" customWidth="1"/>
    <col min="2053" max="2053" width="6" style="2" customWidth="1"/>
    <col min="2054" max="2063" width="3.875" style="2" customWidth="1"/>
    <col min="2064" max="2064" width="2.5" style="2" customWidth="1"/>
    <col min="2065" max="2065" width="12.375" style="2" customWidth="1"/>
    <col min="2066" max="2066" width="9.125" style="2" bestFit="1" customWidth="1"/>
    <col min="2067" max="2068" width="9" style="2"/>
    <col min="2069" max="2069" width="4.5" style="2" bestFit="1" customWidth="1"/>
    <col min="2070" max="2070" width="9" style="2"/>
    <col min="2071" max="2071" width="4.5" style="2" bestFit="1" customWidth="1"/>
    <col min="2072" max="2073" width="5.625" style="2" customWidth="1"/>
    <col min="2074" max="2074" width="9" style="2"/>
    <col min="2075" max="2075" width="5.625" style="2" customWidth="1"/>
    <col min="2076" max="2076" width="9" style="2"/>
    <col min="2077" max="2078" width="5.625" style="2" customWidth="1"/>
    <col min="2079" max="2079" width="9" style="2"/>
    <col min="2080" max="2080" width="5.625" style="2" customWidth="1"/>
    <col min="2081" max="2081" width="9" style="2"/>
    <col min="2082" max="2082" width="11.625" style="2" bestFit="1" customWidth="1"/>
    <col min="2083" max="2300" width="9" style="2"/>
    <col min="2301" max="2301" width="14.875" style="2" customWidth="1"/>
    <col min="2302" max="2304" width="3.625" style="2" customWidth="1"/>
    <col min="2305" max="2306" width="12.625" style="2" customWidth="1"/>
    <col min="2307" max="2307" width="6" style="2" customWidth="1"/>
    <col min="2308" max="2308" width="12.625" style="2" customWidth="1"/>
    <col min="2309" max="2309" width="6" style="2" customWidth="1"/>
    <col min="2310" max="2319" width="3.875" style="2" customWidth="1"/>
    <col min="2320" max="2320" width="2.5" style="2" customWidth="1"/>
    <col min="2321" max="2321" width="12.375" style="2" customWidth="1"/>
    <col min="2322" max="2322" width="9.125" style="2" bestFit="1" customWidth="1"/>
    <col min="2323" max="2324" width="9" style="2"/>
    <col min="2325" max="2325" width="4.5" style="2" bestFit="1" customWidth="1"/>
    <col min="2326" max="2326" width="9" style="2"/>
    <col min="2327" max="2327" width="4.5" style="2" bestFit="1" customWidth="1"/>
    <col min="2328" max="2329" width="5.625" style="2" customWidth="1"/>
    <col min="2330" max="2330" width="9" style="2"/>
    <col min="2331" max="2331" width="5.625" style="2" customWidth="1"/>
    <col min="2332" max="2332" width="9" style="2"/>
    <col min="2333" max="2334" width="5.625" style="2" customWidth="1"/>
    <col min="2335" max="2335" width="9" style="2"/>
    <col min="2336" max="2336" width="5.625" style="2" customWidth="1"/>
    <col min="2337" max="2337" width="9" style="2"/>
    <col min="2338" max="2338" width="11.625" style="2" bestFit="1" customWidth="1"/>
    <col min="2339" max="2556" width="9" style="2"/>
    <col min="2557" max="2557" width="14.875" style="2" customWidth="1"/>
    <col min="2558" max="2560" width="3.625" style="2" customWidth="1"/>
    <col min="2561" max="2562" width="12.625" style="2" customWidth="1"/>
    <col min="2563" max="2563" width="6" style="2" customWidth="1"/>
    <col min="2564" max="2564" width="12.625" style="2" customWidth="1"/>
    <col min="2565" max="2565" width="6" style="2" customWidth="1"/>
    <col min="2566" max="2575" width="3.875" style="2" customWidth="1"/>
    <col min="2576" max="2576" width="2.5" style="2" customWidth="1"/>
    <col min="2577" max="2577" width="12.375" style="2" customWidth="1"/>
    <col min="2578" max="2578" width="9.125" style="2" bestFit="1" customWidth="1"/>
    <col min="2579" max="2580" width="9" style="2"/>
    <col min="2581" max="2581" width="4.5" style="2" bestFit="1" customWidth="1"/>
    <col min="2582" max="2582" width="9" style="2"/>
    <col min="2583" max="2583" width="4.5" style="2" bestFit="1" customWidth="1"/>
    <col min="2584" max="2585" width="5.625" style="2" customWidth="1"/>
    <col min="2586" max="2586" width="9" style="2"/>
    <col min="2587" max="2587" width="5.625" style="2" customWidth="1"/>
    <col min="2588" max="2588" width="9" style="2"/>
    <col min="2589" max="2590" width="5.625" style="2" customWidth="1"/>
    <col min="2591" max="2591" width="9" style="2"/>
    <col min="2592" max="2592" width="5.625" style="2" customWidth="1"/>
    <col min="2593" max="2593" width="9" style="2"/>
    <col min="2594" max="2594" width="11.625" style="2" bestFit="1" customWidth="1"/>
    <col min="2595" max="2812" width="9" style="2"/>
    <col min="2813" max="2813" width="14.875" style="2" customWidth="1"/>
    <col min="2814" max="2816" width="3.625" style="2" customWidth="1"/>
    <col min="2817" max="2818" width="12.625" style="2" customWidth="1"/>
    <col min="2819" max="2819" width="6" style="2" customWidth="1"/>
    <col min="2820" max="2820" width="12.625" style="2" customWidth="1"/>
    <col min="2821" max="2821" width="6" style="2" customWidth="1"/>
    <col min="2822" max="2831" width="3.875" style="2" customWidth="1"/>
    <col min="2832" max="2832" width="2.5" style="2" customWidth="1"/>
    <col min="2833" max="2833" width="12.375" style="2" customWidth="1"/>
    <col min="2834" max="2834" width="9.125" style="2" bestFit="1" customWidth="1"/>
    <col min="2835" max="2836" width="9" style="2"/>
    <col min="2837" max="2837" width="4.5" style="2" bestFit="1" customWidth="1"/>
    <col min="2838" max="2838" width="9" style="2"/>
    <col min="2839" max="2839" width="4.5" style="2" bestFit="1" customWidth="1"/>
    <col min="2840" max="2841" width="5.625" style="2" customWidth="1"/>
    <col min="2842" max="2842" width="9" style="2"/>
    <col min="2843" max="2843" width="5.625" style="2" customWidth="1"/>
    <col min="2844" max="2844" width="9" style="2"/>
    <col min="2845" max="2846" width="5.625" style="2" customWidth="1"/>
    <col min="2847" max="2847" width="9" style="2"/>
    <col min="2848" max="2848" width="5.625" style="2" customWidth="1"/>
    <col min="2849" max="2849" width="9" style="2"/>
    <col min="2850" max="2850" width="11.625" style="2" bestFit="1" customWidth="1"/>
    <col min="2851" max="3068" width="9" style="2"/>
    <col min="3069" max="3069" width="14.875" style="2" customWidth="1"/>
    <col min="3070" max="3072" width="3.625" style="2" customWidth="1"/>
    <col min="3073" max="3074" width="12.625" style="2" customWidth="1"/>
    <col min="3075" max="3075" width="6" style="2" customWidth="1"/>
    <col min="3076" max="3076" width="12.625" style="2" customWidth="1"/>
    <col min="3077" max="3077" width="6" style="2" customWidth="1"/>
    <col min="3078" max="3087" width="3.875" style="2" customWidth="1"/>
    <col min="3088" max="3088" width="2.5" style="2" customWidth="1"/>
    <col min="3089" max="3089" width="12.375" style="2" customWidth="1"/>
    <col min="3090" max="3090" width="9.125" style="2" bestFit="1" customWidth="1"/>
    <col min="3091" max="3092" width="9" style="2"/>
    <col min="3093" max="3093" width="4.5" style="2" bestFit="1" customWidth="1"/>
    <col min="3094" max="3094" width="9" style="2"/>
    <col min="3095" max="3095" width="4.5" style="2" bestFit="1" customWidth="1"/>
    <col min="3096" max="3097" width="5.625" style="2" customWidth="1"/>
    <col min="3098" max="3098" width="9" style="2"/>
    <col min="3099" max="3099" width="5.625" style="2" customWidth="1"/>
    <col min="3100" max="3100" width="9" style="2"/>
    <col min="3101" max="3102" width="5.625" style="2" customWidth="1"/>
    <col min="3103" max="3103" width="9" style="2"/>
    <col min="3104" max="3104" width="5.625" style="2" customWidth="1"/>
    <col min="3105" max="3105" width="9" style="2"/>
    <col min="3106" max="3106" width="11.625" style="2" bestFit="1" customWidth="1"/>
    <col min="3107" max="3324" width="9" style="2"/>
    <col min="3325" max="3325" width="14.875" style="2" customWidth="1"/>
    <col min="3326" max="3328" width="3.625" style="2" customWidth="1"/>
    <col min="3329" max="3330" width="12.625" style="2" customWidth="1"/>
    <col min="3331" max="3331" width="6" style="2" customWidth="1"/>
    <col min="3332" max="3332" width="12.625" style="2" customWidth="1"/>
    <col min="3333" max="3333" width="6" style="2" customWidth="1"/>
    <col min="3334" max="3343" width="3.875" style="2" customWidth="1"/>
    <col min="3344" max="3344" width="2.5" style="2" customWidth="1"/>
    <col min="3345" max="3345" width="12.375" style="2" customWidth="1"/>
    <col min="3346" max="3346" width="9.125" style="2" bestFit="1" customWidth="1"/>
    <col min="3347" max="3348" width="9" style="2"/>
    <col min="3349" max="3349" width="4.5" style="2" bestFit="1" customWidth="1"/>
    <col min="3350" max="3350" width="9" style="2"/>
    <col min="3351" max="3351" width="4.5" style="2" bestFit="1" customWidth="1"/>
    <col min="3352" max="3353" width="5.625" style="2" customWidth="1"/>
    <col min="3354" max="3354" width="9" style="2"/>
    <col min="3355" max="3355" width="5.625" style="2" customWidth="1"/>
    <col min="3356" max="3356" width="9" style="2"/>
    <col min="3357" max="3358" width="5.625" style="2" customWidth="1"/>
    <col min="3359" max="3359" width="9" style="2"/>
    <col min="3360" max="3360" width="5.625" style="2" customWidth="1"/>
    <col min="3361" max="3361" width="9" style="2"/>
    <col min="3362" max="3362" width="11.625" style="2" bestFit="1" customWidth="1"/>
    <col min="3363" max="3580" width="9" style="2"/>
    <col min="3581" max="3581" width="14.875" style="2" customWidth="1"/>
    <col min="3582" max="3584" width="3.625" style="2" customWidth="1"/>
    <col min="3585" max="3586" width="12.625" style="2" customWidth="1"/>
    <col min="3587" max="3587" width="6" style="2" customWidth="1"/>
    <col min="3588" max="3588" width="12.625" style="2" customWidth="1"/>
    <col min="3589" max="3589" width="6" style="2" customWidth="1"/>
    <col min="3590" max="3599" width="3.875" style="2" customWidth="1"/>
    <col min="3600" max="3600" width="2.5" style="2" customWidth="1"/>
    <col min="3601" max="3601" width="12.375" style="2" customWidth="1"/>
    <col min="3602" max="3602" width="9.125" style="2" bestFit="1" customWidth="1"/>
    <col min="3603" max="3604" width="9" style="2"/>
    <col min="3605" max="3605" width="4.5" style="2" bestFit="1" customWidth="1"/>
    <col min="3606" max="3606" width="9" style="2"/>
    <col min="3607" max="3607" width="4.5" style="2" bestFit="1" customWidth="1"/>
    <col min="3608" max="3609" width="5.625" style="2" customWidth="1"/>
    <col min="3610" max="3610" width="9" style="2"/>
    <col min="3611" max="3611" width="5.625" style="2" customWidth="1"/>
    <col min="3612" max="3612" width="9" style="2"/>
    <col min="3613" max="3614" width="5.625" style="2" customWidth="1"/>
    <col min="3615" max="3615" width="9" style="2"/>
    <col min="3616" max="3616" width="5.625" style="2" customWidth="1"/>
    <col min="3617" max="3617" width="9" style="2"/>
    <col min="3618" max="3618" width="11.625" style="2" bestFit="1" customWidth="1"/>
    <col min="3619" max="3836" width="9" style="2"/>
    <col min="3837" max="3837" width="14.875" style="2" customWidth="1"/>
    <col min="3838" max="3840" width="3.625" style="2" customWidth="1"/>
    <col min="3841" max="3842" width="12.625" style="2" customWidth="1"/>
    <col min="3843" max="3843" width="6" style="2" customWidth="1"/>
    <col min="3844" max="3844" width="12.625" style="2" customWidth="1"/>
    <col min="3845" max="3845" width="6" style="2" customWidth="1"/>
    <col min="3846" max="3855" width="3.875" style="2" customWidth="1"/>
    <col min="3856" max="3856" width="2.5" style="2" customWidth="1"/>
    <col min="3857" max="3857" width="12.375" style="2" customWidth="1"/>
    <col min="3858" max="3858" width="9.125" style="2" bestFit="1" customWidth="1"/>
    <col min="3859" max="3860" width="9" style="2"/>
    <col min="3861" max="3861" width="4.5" style="2" bestFit="1" customWidth="1"/>
    <col min="3862" max="3862" width="9" style="2"/>
    <col min="3863" max="3863" width="4.5" style="2" bestFit="1" customWidth="1"/>
    <col min="3864" max="3865" width="5.625" style="2" customWidth="1"/>
    <col min="3866" max="3866" width="9" style="2"/>
    <col min="3867" max="3867" width="5.625" style="2" customWidth="1"/>
    <col min="3868" max="3868" width="9" style="2"/>
    <col min="3869" max="3870" width="5.625" style="2" customWidth="1"/>
    <col min="3871" max="3871" width="9" style="2"/>
    <col min="3872" max="3872" width="5.625" style="2" customWidth="1"/>
    <col min="3873" max="3873" width="9" style="2"/>
    <col min="3874" max="3874" width="11.625" style="2" bestFit="1" customWidth="1"/>
    <col min="3875" max="4092" width="9" style="2"/>
    <col min="4093" max="4093" width="14.875" style="2" customWidth="1"/>
    <col min="4094" max="4096" width="3.625" style="2" customWidth="1"/>
    <col min="4097" max="4098" width="12.625" style="2" customWidth="1"/>
    <col min="4099" max="4099" width="6" style="2" customWidth="1"/>
    <col min="4100" max="4100" width="12.625" style="2" customWidth="1"/>
    <col min="4101" max="4101" width="6" style="2" customWidth="1"/>
    <col min="4102" max="4111" width="3.875" style="2" customWidth="1"/>
    <col min="4112" max="4112" width="2.5" style="2" customWidth="1"/>
    <col min="4113" max="4113" width="12.375" style="2" customWidth="1"/>
    <col min="4114" max="4114" width="9.125" style="2" bestFit="1" customWidth="1"/>
    <col min="4115" max="4116" width="9" style="2"/>
    <col min="4117" max="4117" width="4.5" style="2" bestFit="1" customWidth="1"/>
    <col min="4118" max="4118" width="9" style="2"/>
    <col min="4119" max="4119" width="4.5" style="2" bestFit="1" customWidth="1"/>
    <col min="4120" max="4121" width="5.625" style="2" customWidth="1"/>
    <col min="4122" max="4122" width="9" style="2"/>
    <col min="4123" max="4123" width="5.625" style="2" customWidth="1"/>
    <col min="4124" max="4124" width="9" style="2"/>
    <col min="4125" max="4126" width="5.625" style="2" customWidth="1"/>
    <col min="4127" max="4127" width="9" style="2"/>
    <col min="4128" max="4128" width="5.625" style="2" customWidth="1"/>
    <col min="4129" max="4129" width="9" style="2"/>
    <col min="4130" max="4130" width="11.625" style="2" bestFit="1" customWidth="1"/>
    <col min="4131" max="4348" width="9" style="2"/>
    <col min="4349" max="4349" width="14.875" style="2" customWidth="1"/>
    <col min="4350" max="4352" width="3.625" style="2" customWidth="1"/>
    <col min="4353" max="4354" width="12.625" style="2" customWidth="1"/>
    <col min="4355" max="4355" width="6" style="2" customWidth="1"/>
    <col min="4356" max="4356" width="12.625" style="2" customWidth="1"/>
    <col min="4357" max="4357" width="6" style="2" customWidth="1"/>
    <col min="4358" max="4367" width="3.875" style="2" customWidth="1"/>
    <col min="4368" max="4368" width="2.5" style="2" customWidth="1"/>
    <col min="4369" max="4369" width="12.375" style="2" customWidth="1"/>
    <col min="4370" max="4370" width="9.125" style="2" bestFit="1" customWidth="1"/>
    <col min="4371" max="4372" width="9" style="2"/>
    <col min="4373" max="4373" width="4.5" style="2" bestFit="1" customWidth="1"/>
    <col min="4374" max="4374" width="9" style="2"/>
    <col min="4375" max="4375" width="4.5" style="2" bestFit="1" customWidth="1"/>
    <col min="4376" max="4377" width="5.625" style="2" customWidth="1"/>
    <col min="4378" max="4378" width="9" style="2"/>
    <col min="4379" max="4379" width="5.625" style="2" customWidth="1"/>
    <col min="4380" max="4380" width="9" style="2"/>
    <col min="4381" max="4382" width="5.625" style="2" customWidth="1"/>
    <col min="4383" max="4383" width="9" style="2"/>
    <col min="4384" max="4384" width="5.625" style="2" customWidth="1"/>
    <col min="4385" max="4385" width="9" style="2"/>
    <col min="4386" max="4386" width="11.625" style="2" bestFit="1" customWidth="1"/>
    <col min="4387" max="4604" width="9" style="2"/>
    <col min="4605" max="4605" width="14.875" style="2" customWidth="1"/>
    <col min="4606" max="4608" width="3.625" style="2" customWidth="1"/>
    <col min="4609" max="4610" width="12.625" style="2" customWidth="1"/>
    <col min="4611" max="4611" width="6" style="2" customWidth="1"/>
    <col min="4612" max="4612" width="12.625" style="2" customWidth="1"/>
    <col min="4613" max="4613" width="6" style="2" customWidth="1"/>
    <col min="4614" max="4623" width="3.875" style="2" customWidth="1"/>
    <col min="4624" max="4624" width="2.5" style="2" customWidth="1"/>
    <col min="4625" max="4625" width="12.375" style="2" customWidth="1"/>
    <col min="4626" max="4626" width="9.125" style="2" bestFit="1" customWidth="1"/>
    <col min="4627" max="4628" width="9" style="2"/>
    <col min="4629" max="4629" width="4.5" style="2" bestFit="1" customWidth="1"/>
    <col min="4630" max="4630" width="9" style="2"/>
    <col min="4631" max="4631" width="4.5" style="2" bestFit="1" customWidth="1"/>
    <col min="4632" max="4633" width="5.625" style="2" customWidth="1"/>
    <col min="4634" max="4634" width="9" style="2"/>
    <col min="4635" max="4635" width="5.625" style="2" customWidth="1"/>
    <col min="4636" max="4636" width="9" style="2"/>
    <col min="4637" max="4638" width="5.625" style="2" customWidth="1"/>
    <col min="4639" max="4639" width="9" style="2"/>
    <col min="4640" max="4640" width="5.625" style="2" customWidth="1"/>
    <col min="4641" max="4641" width="9" style="2"/>
    <col min="4642" max="4642" width="11.625" style="2" bestFit="1" customWidth="1"/>
    <col min="4643" max="4860" width="9" style="2"/>
    <col min="4861" max="4861" width="14.875" style="2" customWidth="1"/>
    <col min="4862" max="4864" width="3.625" style="2" customWidth="1"/>
    <col min="4865" max="4866" width="12.625" style="2" customWidth="1"/>
    <col min="4867" max="4867" width="6" style="2" customWidth="1"/>
    <col min="4868" max="4868" width="12.625" style="2" customWidth="1"/>
    <col min="4869" max="4869" width="6" style="2" customWidth="1"/>
    <col min="4870" max="4879" width="3.875" style="2" customWidth="1"/>
    <col min="4880" max="4880" width="2.5" style="2" customWidth="1"/>
    <col min="4881" max="4881" width="12.375" style="2" customWidth="1"/>
    <col min="4882" max="4882" width="9.125" style="2" bestFit="1" customWidth="1"/>
    <col min="4883" max="4884" width="9" style="2"/>
    <col min="4885" max="4885" width="4.5" style="2" bestFit="1" customWidth="1"/>
    <col min="4886" max="4886" width="9" style="2"/>
    <col min="4887" max="4887" width="4.5" style="2" bestFit="1" customWidth="1"/>
    <col min="4888" max="4889" width="5.625" style="2" customWidth="1"/>
    <col min="4890" max="4890" width="9" style="2"/>
    <col min="4891" max="4891" width="5.625" style="2" customWidth="1"/>
    <col min="4892" max="4892" width="9" style="2"/>
    <col min="4893" max="4894" width="5.625" style="2" customWidth="1"/>
    <col min="4895" max="4895" width="9" style="2"/>
    <col min="4896" max="4896" width="5.625" style="2" customWidth="1"/>
    <col min="4897" max="4897" width="9" style="2"/>
    <col min="4898" max="4898" width="11.625" style="2" bestFit="1" customWidth="1"/>
    <col min="4899" max="5116" width="9" style="2"/>
    <col min="5117" max="5117" width="14.875" style="2" customWidth="1"/>
    <col min="5118" max="5120" width="3.625" style="2" customWidth="1"/>
    <col min="5121" max="5122" width="12.625" style="2" customWidth="1"/>
    <col min="5123" max="5123" width="6" style="2" customWidth="1"/>
    <col min="5124" max="5124" width="12.625" style="2" customWidth="1"/>
    <col min="5125" max="5125" width="6" style="2" customWidth="1"/>
    <col min="5126" max="5135" width="3.875" style="2" customWidth="1"/>
    <col min="5136" max="5136" width="2.5" style="2" customWidth="1"/>
    <col min="5137" max="5137" width="12.375" style="2" customWidth="1"/>
    <col min="5138" max="5138" width="9.125" style="2" bestFit="1" customWidth="1"/>
    <col min="5139" max="5140" width="9" style="2"/>
    <col min="5141" max="5141" width="4.5" style="2" bestFit="1" customWidth="1"/>
    <col min="5142" max="5142" width="9" style="2"/>
    <col min="5143" max="5143" width="4.5" style="2" bestFit="1" customWidth="1"/>
    <col min="5144" max="5145" width="5.625" style="2" customWidth="1"/>
    <col min="5146" max="5146" width="9" style="2"/>
    <col min="5147" max="5147" width="5.625" style="2" customWidth="1"/>
    <col min="5148" max="5148" width="9" style="2"/>
    <col min="5149" max="5150" width="5.625" style="2" customWidth="1"/>
    <col min="5151" max="5151" width="9" style="2"/>
    <col min="5152" max="5152" width="5.625" style="2" customWidth="1"/>
    <col min="5153" max="5153" width="9" style="2"/>
    <col min="5154" max="5154" width="11.625" style="2" bestFit="1" customWidth="1"/>
    <col min="5155" max="5372" width="9" style="2"/>
    <col min="5373" max="5373" width="14.875" style="2" customWidth="1"/>
    <col min="5374" max="5376" width="3.625" style="2" customWidth="1"/>
    <col min="5377" max="5378" width="12.625" style="2" customWidth="1"/>
    <col min="5379" max="5379" width="6" style="2" customWidth="1"/>
    <col min="5380" max="5380" width="12.625" style="2" customWidth="1"/>
    <col min="5381" max="5381" width="6" style="2" customWidth="1"/>
    <col min="5382" max="5391" width="3.875" style="2" customWidth="1"/>
    <col min="5392" max="5392" width="2.5" style="2" customWidth="1"/>
    <col min="5393" max="5393" width="12.375" style="2" customWidth="1"/>
    <col min="5394" max="5394" width="9.125" style="2" bestFit="1" customWidth="1"/>
    <col min="5395" max="5396" width="9" style="2"/>
    <col min="5397" max="5397" width="4.5" style="2" bestFit="1" customWidth="1"/>
    <col min="5398" max="5398" width="9" style="2"/>
    <col min="5399" max="5399" width="4.5" style="2" bestFit="1" customWidth="1"/>
    <col min="5400" max="5401" width="5.625" style="2" customWidth="1"/>
    <col min="5402" max="5402" width="9" style="2"/>
    <col min="5403" max="5403" width="5.625" style="2" customWidth="1"/>
    <col min="5404" max="5404" width="9" style="2"/>
    <col min="5405" max="5406" width="5.625" style="2" customWidth="1"/>
    <col min="5407" max="5407" width="9" style="2"/>
    <col min="5408" max="5408" width="5.625" style="2" customWidth="1"/>
    <col min="5409" max="5409" width="9" style="2"/>
    <col min="5410" max="5410" width="11.625" style="2" bestFit="1" customWidth="1"/>
    <col min="5411" max="5628" width="9" style="2"/>
    <col min="5629" max="5629" width="14.875" style="2" customWidth="1"/>
    <col min="5630" max="5632" width="3.625" style="2" customWidth="1"/>
    <col min="5633" max="5634" width="12.625" style="2" customWidth="1"/>
    <col min="5635" max="5635" width="6" style="2" customWidth="1"/>
    <col min="5636" max="5636" width="12.625" style="2" customWidth="1"/>
    <col min="5637" max="5637" width="6" style="2" customWidth="1"/>
    <col min="5638" max="5647" width="3.875" style="2" customWidth="1"/>
    <col min="5648" max="5648" width="2.5" style="2" customWidth="1"/>
    <col min="5649" max="5649" width="12.375" style="2" customWidth="1"/>
    <col min="5650" max="5650" width="9.125" style="2" bestFit="1" customWidth="1"/>
    <col min="5651" max="5652" width="9" style="2"/>
    <col min="5653" max="5653" width="4.5" style="2" bestFit="1" customWidth="1"/>
    <col min="5654" max="5654" width="9" style="2"/>
    <col min="5655" max="5655" width="4.5" style="2" bestFit="1" customWidth="1"/>
    <col min="5656" max="5657" width="5.625" style="2" customWidth="1"/>
    <col min="5658" max="5658" width="9" style="2"/>
    <col min="5659" max="5659" width="5.625" style="2" customWidth="1"/>
    <col min="5660" max="5660" width="9" style="2"/>
    <col min="5661" max="5662" width="5.625" style="2" customWidth="1"/>
    <col min="5663" max="5663" width="9" style="2"/>
    <col min="5664" max="5664" width="5.625" style="2" customWidth="1"/>
    <col min="5665" max="5665" width="9" style="2"/>
    <col min="5666" max="5666" width="11.625" style="2" bestFit="1" customWidth="1"/>
    <col min="5667" max="5884" width="9" style="2"/>
    <col min="5885" max="5885" width="14.875" style="2" customWidth="1"/>
    <col min="5886" max="5888" width="3.625" style="2" customWidth="1"/>
    <col min="5889" max="5890" width="12.625" style="2" customWidth="1"/>
    <col min="5891" max="5891" width="6" style="2" customWidth="1"/>
    <col min="5892" max="5892" width="12.625" style="2" customWidth="1"/>
    <col min="5893" max="5893" width="6" style="2" customWidth="1"/>
    <col min="5894" max="5903" width="3.875" style="2" customWidth="1"/>
    <col min="5904" max="5904" width="2.5" style="2" customWidth="1"/>
    <col min="5905" max="5905" width="12.375" style="2" customWidth="1"/>
    <col min="5906" max="5906" width="9.125" style="2" bestFit="1" customWidth="1"/>
    <col min="5907" max="5908" width="9" style="2"/>
    <col min="5909" max="5909" width="4.5" style="2" bestFit="1" customWidth="1"/>
    <col min="5910" max="5910" width="9" style="2"/>
    <col min="5911" max="5911" width="4.5" style="2" bestFit="1" customWidth="1"/>
    <col min="5912" max="5913" width="5.625" style="2" customWidth="1"/>
    <col min="5914" max="5914" width="9" style="2"/>
    <col min="5915" max="5915" width="5.625" style="2" customWidth="1"/>
    <col min="5916" max="5916" width="9" style="2"/>
    <col min="5917" max="5918" width="5.625" style="2" customWidth="1"/>
    <col min="5919" max="5919" width="9" style="2"/>
    <col min="5920" max="5920" width="5.625" style="2" customWidth="1"/>
    <col min="5921" max="5921" width="9" style="2"/>
    <col min="5922" max="5922" width="11.625" style="2" bestFit="1" customWidth="1"/>
    <col min="5923" max="6140" width="9" style="2"/>
    <col min="6141" max="6141" width="14.875" style="2" customWidth="1"/>
    <col min="6142" max="6144" width="3.625" style="2" customWidth="1"/>
    <col min="6145" max="6146" width="12.625" style="2" customWidth="1"/>
    <col min="6147" max="6147" width="6" style="2" customWidth="1"/>
    <col min="6148" max="6148" width="12.625" style="2" customWidth="1"/>
    <col min="6149" max="6149" width="6" style="2" customWidth="1"/>
    <col min="6150" max="6159" width="3.875" style="2" customWidth="1"/>
    <col min="6160" max="6160" width="2.5" style="2" customWidth="1"/>
    <col min="6161" max="6161" width="12.375" style="2" customWidth="1"/>
    <col min="6162" max="6162" width="9.125" style="2" bestFit="1" customWidth="1"/>
    <col min="6163" max="6164" width="9" style="2"/>
    <col min="6165" max="6165" width="4.5" style="2" bestFit="1" customWidth="1"/>
    <col min="6166" max="6166" width="9" style="2"/>
    <col min="6167" max="6167" width="4.5" style="2" bestFit="1" customWidth="1"/>
    <col min="6168" max="6169" width="5.625" style="2" customWidth="1"/>
    <col min="6170" max="6170" width="9" style="2"/>
    <col min="6171" max="6171" width="5.625" style="2" customWidth="1"/>
    <col min="6172" max="6172" width="9" style="2"/>
    <col min="6173" max="6174" width="5.625" style="2" customWidth="1"/>
    <col min="6175" max="6175" width="9" style="2"/>
    <col min="6176" max="6176" width="5.625" style="2" customWidth="1"/>
    <col min="6177" max="6177" width="9" style="2"/>
    <col min="6178" max="6178" width="11.625" style="2" bestFit="1" customWidth="1"/>
    <col min="6179" max="6396" width="9" style="2"/>
    <col min="6397" max="6397" width="14.875" style="2" customWidth="1"/>
    <col min="6398" max="6400" width="3.625" style="2" customWidth="1"/>
    <col min="6401" max="6402" width="12.625" style="2" customWidth="1"/>
    <col min="6403" max="6403" width="6" style="2" customWidth="1"/>
    <col min="6404" max="6404" width="12.625" style="2" customWidth="1"/>
    <col min="6405" max="6405" width="6" style="2" customWidth="1"/>
    <col min="6406" max="6415" width="3.875" style="2" customWidth="1"/>
    <col min="6416" max="6416" width="2.5" style="2" customWidth="1"/>
    <col min="6417" max="6417" width="12.375" style="2" customWidth="1"/>
    <col min="6418" max="6418" width="9.125" style="2" bestFit="1" customWidth="1"/>
    <col min="6419" max="6420" width="9" style="2"/>
    <col min="6421" max="6421" width="4.5" style="2" bestFit="1" customWidth="1"/>
    <col min="6422" max="6422" width="9" style="2"/>
    <col min="6423" max="6423" width="4.5" style="2" bestFit="1" customWidth="1"/>
    <col min="6424" max="6425" width="5.625" style="2" customWidth="1"/>
    <col min="6426" max="6426" width="9" style="2"/>
    <col min="6427" max="6427" width="5.625" style="2" customWidth="1"/>
    <col min="6428" max="6428" width="9" style="2"/>
    <col min="6429" max="6430" width="5.625" style="2" customWidth="1"/>
    <col min="6431" max="6431" width="9" style="2"/>
    <col min="6432" max="6432" width="5.625" style="2" customWidth="1"/>
    <col min="6433" max="6433" width="9" style="2"/>
    <col min="6434" max="6434" width="11.625" style="2" bestFit="1" customWidth="1"/>
    <col min="6435" max="6652" width="9" style="2"/>
    <col min="6653" max="6653" width="14.875" style="2" customWidth="1"/>
    <col min="6654" max="6656" width="3.625" style="2" customWidth="1"/>
    <col min="6657" max="6658" width="12.625" style="2" customWidth="1"/>
    <col min="6659" max="6659" width="6" style="2" customWidth="1"/>
    <col min="6660" max="6660" width="12.625" style="2" customWidth="1"/>
    <col min="6661" max="6661" width="6" style="2" customWidth="1"/>
    <col min="6662" max="6671" width="3.875" style="2" customWidth="1"/>
    <col min="6672" max="6672" width="2.5" style="2" customWidth="1"/>
    <col min="6673" max="6673" width="12.375" style="2" customWidth="1"/>
    <col min="6674" max="6674" width="9.125" style="2" bestFit="1" customWidth="1"/>
    <col min="6675" max="6676" width="9" style="2"/>
    <col min="6677" max="6677" width="4.5" style="2" bestFit="1" customWidth="1"/>
    <col min="6678" max="6678" width="9" style="2"/>
    <col min="6679" max="6679" width="4.5" style="2" bestFit="1" customWidth="1"/>
    <col min="6680" max="6681" width="5.625" style="2" customWidth="1"/>
    <col min="6682" max="6682" width="9" style="2"/>
    <col min="6683" max="6683" width="5.625" style="2" customWidth="1"/>
    <col min="6684" max="6684" width="9" style="2"/>
    <col min="6685" max="6686" width="5.625" style="2" customWidth="1"/>
    <col min="6687" max="6687" width="9" style="2"/>
    <col min="6688" max="6688" width="5.625" style="2" customWidth="1"/>
    <col min="6689" max="6689" width="9" style="2"/>
    <col min="6690" max="6690" width="11.625" style="2" bestFit="1" customWidth="1"/>
    <col min="6691" max="6908" width="9" style="2"/>
    <col min="6909" max="6909" width="14.875" style="2" customWidth="1"/>
    <col min="6910" max="6912" width="3.625" style="2" customWidth="1"/>
    <col min="6913" max="6914" width="12.625" style="2" customWidth="1"/>
    <col min="6915" max="6915" width="6" style="2" customWidth="1"/>
    <col min="6916" max="6916" width="12.625" style="2" customWidth="1"/>
    <col min="6917" max="6917" width="6" style="2" customWidth="1"/>
    <col min="6918" max="6927" width="3.875" style="2" customWidth="1"/>
    <col min="6928" max="6928" width="2.5" style="2" customWidth="1"/>
    <col min="6929" max="6929" width="12.375" style="2" customWidth="1"/>
    <col min="6930" max="6930" width="9.125" style="2" bestFit="1" customWidth="1"/>
    <col min="6931" max="6932" width="9" style="2"/>
    <col min="6933" max="6933" width="4.5" style="2" bestFit="1" customWidth="1"/>
    <col min="6934" max="6934" width="9" style="2"/>
    <col min="6935" max="6935" width="4.5" style="2" bestFit="1" customWidth="1"/>
    <col min="6936" max="6937" width="5.625" style="2" customWidth="1"/>
    <col min="6938" max="6938" width="9" style="2"/>
    <col min="6939" max="6939" width="5.625" style="2" customWidth="1"/>
    <col min="6940" max="6940" width="9" style="2"/>
    <col min="6941" max="6942" width="5.625" style="2" customWidth="1"/>
    <col min="6943" max="6943" width="9" style="2"/>
    <col min="6944" max="6944" width="5.625" style="2" customWidth="1"/>
    <col min="6945" max="6945" width="9" style="2"/>
    <col min="6946" max="6946" width="11.625" style="2" bestFit="1" customWidth="1"/>
    <col min="6947" max="7164" width="9" style="2"/>
    <col min="7165" max="7165" width="14.875" style="2" customWidth="1"/>
    <col min="7166" max="7168" width="3.625" style="2" customWidth="1"/>
    <col min="7169" max="7170" width="12.625" style="2" customWidth="1"/>
    <col min="7171" max="7171" width="6" style="2" customWidth="1"/>
    <col min="7172" max="7172" width="12.625" style="2" customWidth="1"/>
    <col min="7173" max="7173" width="6" style="2" customWidth="1"/>
    <col min="7174" max="7183" width="3.875" style="2" customWidth="1"/>
    <col min="7184" max="7184" width="2.5" style="2" customWidth="1"/>
    <col min="7185" max="7185" width="12.375" style="2" customWidth="1"/>
    <col min="7186" max="7186" width="9.125" style="2" bestFit="1" customWidth="1"/>
    <col min="7187" max="7188" width="9" style="2"/>
    <col min="7189" max="7189" width="4.5" style="2" bestFit="1" customWidth="1"/>
    <col min="7190" max="7190" width="9" style="2"/>
    <col min="7191" max="7191" width="4.5" style="2" bestFit="1" customWidth="1"/>
    <col min="7192" max="7193" width="5.625" style="2" customWidth="1"/>
    <col min="7194" max="7194" width="9" style="2"/>
    <col min="7195" max="7195" width="5.625" style="2" customWidth="1"/>
    <col min="7196" max="7196" width="9" style="2"/>
    <col min="7197" max="7198" width="5.625" style="2" customWidth="1"/>
    <col min="7199" max="7199" width="9" style="2"/>
    <col min="7200" max="7200" width="5.625" style="2" customWidth="1"/>
    <col min="7201" max="7201" width="9" style="2"/>
    <col min="7202" max="7202" width="11.625" style="2" bestFit="1" customWidth="1"/>
    <col min="7203" max="7420" width="9" style="2"/>
    <col min="7421" max="7421" width="14.875" style="2" customWidth="1"/>
    <col min="7422" max="7424" width="3.625" style="2" customWidth="1"/>
    <col min="7425" max="7426" width="12.625" style="2" customWidth="1"/>
    <col min="7427" max="7427" width="6" style="2" customWidth="1"/>
    <col min="7428" max="7428" width="12.625" style="2" customWidth="1"/>
    <col min="7429" max="7429" width="6" style="2" customWidth="1"/>
    <col min="7430" max="7439" width="3.875" style="2" customWidth="1"/>
    <col min="7440" max="7440" width="2.5" style="2" customWidth="1"/>
    <col min="7441" max="7441" width="12.375" style="2" customWidth="1"/>
    <col min="7442" max="7442" width="9.125" style="2" bestFit="1" customWidth="1"/>
    <col min="7443" max="7444" width="9" style="2"/>
    <col min="7445" max="7445" width="4.5" style="2" bestFit="1" customWidth="1"/>
    <col min="7446" max="7446" width="9" style="2"/>
    <col min="7447" max="7447" width="4.5" style="2" bestFit="1" customWidth="1"/>
    <col min="7448" max="7449" width="5.625" style="2" customWidth="1"/>
    <col min="7450" max="7450" width="9" style="2"/>
    <col min="7451" max="7451" width="5.625" style="2" customWidth="1"/>
    <col min="7452" max="7452" width="9" style="2"/>
    <col min="7453" max="7454" width="5.625" style="2" customWidth="1"/>
    <col min="7455" max="7455" width="9" style="2"/>
    <col min="7456" max="7456" width="5.625" style="2" customWidth="1"/>
    <col min="7457" max="7457" width="9" style="2"/>
    <col min="7458" max="7458" width="11.625" style="2" bestFit="1" customWidth="1"/>
    <col min="7459" max="7676" width="9" style="2"/>
    <col min="7677" max="7677" width="14.875" style="2" customWidth="1"/>
    <col min="7678" max="7680" width="3.625" style="2" customWidth="1"/>
    <col min="7681" max="7682" width="12.625" style="2" customWidth="1"/>
    <col min="7683" max="7683" width="6" style="2" customWidth="1"/>
    <col min="7684" max="7684" width="12.625" style="2" customWidth="1"/>
    <col min="7685" max="7685" width="6" style="2" customWidth="1"/>
    <col min="7686" max="7695" width="3.875" style="2" customWidth="1"/>
    <col min="7696" max="7696" width="2.5" style="2" customWidth="1"/>
    <col min="7697" max="7697" width="12.375" style="2" customWidth="1"/>
    <col min="7698" max="7698" width="9.125" style="2" bestFit="1" customWidth="1"/>
    <col min="7699" max="7700" width="9" style="2"/>
    <col min="7701" max="7701" width="4.5" style="2" bestFit="1" customWidth="1"/>
    <col min="7702" max="7702" width="9" style="2"/>
    <col min="7703" max="7703" width="4.5" style="2" bestFit="1" customWidth="1"/>
    <col min="7704" max="7705" width="5.625" style="2" customWidth="1"/>
    <col min="7706" max="7706" width="9" style="2"/>
    <col min="7707" max="7707" width="5.625" style="2" customWidth="1"/>
    <col min="7708" max="7708" width="9" style="2"/>
    <col min="7709" max="7710" width="5.625" style="2" customWidth="1"/>
    <col min="7711" max="7711" width="9" style="2"/>
    <col min="7712" max="7712" width="5.625" style="2" customWidth="1"/>
    <col min="7713" max="7713" width="9" style="2"/>
    <col min="7714" max="7714" width="11.625" style="2" bestFit="1" customWidth="1"/>
    <col min="7715" max="7932" width="9" style="2"/>
    <col min="7933" max="7933" width="14.875" style="2" customWidth="1"/>
    <col min="7934" max="7936" width="3.625" style="2" customWidth="1"/>
    <col min="7937" max="7938" width="12.625" style="2" customWidth="1"/>
    <col min="7939" max="7939" width="6" style="2" customWidth="1"/>
    <col min="7940" max="7940" width="12.625" style="2" customWidth="1"/>
    <col min="7941" max="7941" width="6" style="2" customWidth="1"/>
    <col min="7942" max="7951" width="3.875" style="2" customWidth="1"/>
    <col min="7952" max="7952" width="2.5" style="2" customWidth="1"/>
    <col min="7953" max="7953" width="12.375" style="2" customWidth="1"/>
    <col min="7954" max="7954" width="9.125" style="2" bestFit="1" customWidth="1"/>
    <col min="7955" max="7956" width="9" style="2"/>
    <col min="7957" max="7957" width="4.5" style="2" bestFit="1" customWidth="1"/>
    <col min="7958" max="7958" width="9" style="2"/>
    <col min="7959" max="7959" width="4.5" style="2" bestFit="1" customWidth="1"/>
    <col min="7960" max="7961" width="5.625" style="2" customWidth="1"/>
    <col min="7962" max="7962" width="9" style="2"/>
    <col min="7963" max="7963" width="5.625" style="2" customWidth="1"/>
    <col min="7964" max="7964" width="9" style="2"/>
    <col min="7965" max="7966" width="5.625" style="2" customWidth="1"/>
    <col min="7967" max="7967" width="9" style="2"/>
    <col min="7968" max="7968" width="5.625" style="2" customWidth="1"/>
    <col min="7969" max="7969" width="9" style="2"/>
    <col min="7970" max="7970" width="11.625" style="2" bestFit="1" customWidth="1"/>
    <col min="7971" max="8188" width="9" style="2"/>
    <col min="8189" max="8189" width="14.875" style="2" customWidth="1"/>
    <col min="8190" max="8192" width="3.625" style="2" customWidth="1"/>
    <col min="8193" max="8194" width="12.625" style="2" customWidth="1"/>
    <col min="8195" max="8195" width="6" style="2" customWidth="1"/>
    <col min="8196" max="8196" width="12.625" style="2" customWidth="1"/>
    <col min="8197" max="8197" width="6" style="2" customWidth="1"/>
    <col min="8198" max="8207" width="3.875" style="2" customWidth="1"/>
    <col min="8208" max="8208" width="2.5" style="2" customWidth="1"/>
    <col min="8209" max="8209" width="12.375" style="2" customWidth="1"/>
    <col min="8210" max="8210" width="9.125" style="2" bestFit="1" customWidth="1"/>
    <col min="8211" max="8212" width="9" style="2"/>
    <col min="8213" max="8213" width="4.5" style="2" bestFit="1" customWidth="1"/>
    <col min="8214" max="8214" width="9" style="2"/>
    <col min="8215" max="8215" width="4.5" style="2" bestFit="1" customWidth="1"/>
    <col min="8216" max="8217" width="5.625" style="2" customWidth="1"/>
    <col min="8218" max="8218" width="9" style="2"/>
    <col min="8219" max="8219" width="5.625" style="2" customWidth="1"/>
    <col min="8220" max="8220" width="9" style="2"/>
    <col min="8221" max="8222" width="5.625" style="2" customWidth="1"/>
    <col min="8223" max="8223" width="9" style="2"/>
    <col min="8224" max="8224" width="5.625" style="2" customWidth="1"/>
    <col min="8225" max="8225" width="9" style="2"/>
    <col min="8226" max="8226" width="11.625" style="2" bestFit="1" customWidth="1"/>
    <col min="8227" max="8444" width="9" style="2"/>
    <col min="8445" max="8445" width="14.875" style="2" customWidth="1"/>
    <col min="8446" max="8448" width="3.625" style="2" customWidth="1"/>
    <col min="8449" max="8450" width="12.625" style="2" customWidth="1"/>
    <col min="8451" max="8451" width="6" style="2" customWidth="1"/>
    <col min="8452" max="8452" width="12.625" style="2" customWidth="1"/>
    <col min="8453" max="8453" width="6" style="2" customWidth="1"/>
    <col min="8454" max="8463" width="3.875" style="2" customWidth="1"/>
    <col min="8464" max="8464" width="2.5" style="2" customWidth="1"/>
    <col min="8465" max="8465" width="12.375" style="2" customWidth="1"/>
    <col min="8466" max="8466" width="9.125" style="2" bestFit="1" customWidth="1"/>
    <col min="8467" max="8468" width="9" style="2"/>
    <col min="8469" max="8469" width="4.5" style="2" bestFit="1" customWidth="1"/>
    <col min="8470" max="8470" width="9" style="2"/>
    <col min="8471" max="8471" width="4.5" style="2" bestFit="1" customWidth="1"/>
    <col min="8472" max="8473" width="5.625" style="2" customWidth="1"/>
    <col min="8474" max="8474" width="9" style="2"/>
    <col min="8475" max="8475" width="5.625" style="2" customWidth="1"/>
    <col min="8476" max="8476" width="9" style="2"/>
    <col min="8477" max="8478" width="5.625" style="2" customWidth="1"/>
    <col min="8479" max="8479" width="9" style="2"/>
    <col min="8480" max="8480" width="5.625" style="2" customWidth="1"/>
    <col min="8481" max="8481" width="9" style="2"/>
    <col min="8482" max="8482" width="11.625" style="2" bestFit="1" customWidth="1"/>
    <col min="8483" max="8700" width="9" style="2"/>
    <col min="8701" max="8701" width="14.875" style="2" customWidth="1"/>
    <col min="8702" max="8704" width="3.625" style="2" customWidth="1"/>
    <col min="8705" max="8706" width="12.625" style="2" customWidth="1"/>
    <col min="8707" max="8707" width="6" style="2" customWidth="1"/>
    <col min="8708" max="8708" width="12.625" style="2" customWidth="1"/>
    <col min="8709" max="8709" width="6" style="2" customWidth="1"/>
    <col min="8710" max="8719" width="3.875" style="2" customWidth="1"/>
    <col min="8720" max="8720" width="2.5" style="2" customWidth="1"/>
    <col min="8721" max="8721" width="12.375" style="2" customWidth="1"/>
    <col min="8722" max="8722" width="9.125" style="2" bestFit="1" customWidth="1"/>
    <col min="8723" max="8724" width="9" style="2"/>
    <col min="8725" max="8725" width="4.5" style="2" bestFit="1" customWidth="1"/>
    <col min="8726" max="8726" width="9" style="2"/>
    <col min="8727" max="8727" width="4.5" style="2" bestFit="1" customWidth="1"/>
    <col min="8728" max="8729" width="5.625" style="2" customWidth="1"/>
    <col min="8730" max="8730" width="9" style="2"/>
    <col min="8731" max="8731" width="5.625" style="2" customWidth="1"/>
    <col min="8732" max="8732" width="9" style="2"/>
    <col min="8733" max="8734" width="5.625" style="2" customWidth="1"/>
    <col min="8735" max="8735" width="9" style="2"/>
    <col min="8736" max="8736" width="5.625" style="2" customWidth="1"/>
    <col min="8737" max="8737" width="9" style="2"/>
    <col min="8738" max="8738" width="11.625" style="2" bestFit="1" customWidth="1"/>
    <col min="8739" max="8956" width="9" style="2"/>
    <col min="8957" max="8957" width="14.875" style="2" customWidth="1"/>
    <col min="8958" max="8960" width="3.625" style="2" customWidth="1"/>
    <col min="8961" max="8962" width="12.625" style="2" customWidth="1"/>
    <col min="8963" max="8963" width="6" style="2" customWidth="1"/>
    <col min="8964" max="8964" width="12.625" style="2" customWidth="1"/>
    <col min="8965" max="8965" width="6" style="2" customWidth="1"/>
    <col min="8966" max="8975" width="3.875" style="2" customWidth="1"/>
    <col min="8976" max="8976" width="2.5" style="2" customWidth="1"/>
    <col min="8977" max="8977" width="12.375" style="2" customWidth="1"/>
    <col min="8978" max="8978" width="9.125" style="2" bestFit="1" customWidth="1"/>
    <col min="8979" max="8980" width="9" style="2"/>
    <col min="8981" max="8981" width="4.5" style="2" bestFit="1" customWidth="1"/>
    <col min="8982" max="8982" width="9" style="2"/>
    <col min="8983" max="8983" width="4.5" style="2" bestFit="1" customWidth="1"/>
    <col min="8984" max="8985" width="5.625" style="2" customWidth="1"/>
    <col min="8986" max="8986" width="9" style="2"/>
    <col min="8987" max="8987" width="5.625" style="2" customWidth="1"/>
    <col min="8988" max="8988" width="9" style="2"/>
    <col min="8989" max="8990" width="5.625" style="2" customWidth="1"/>
    <col min="8991" max="8991" width="9" style="2"/>
    <col min="8992" max="8992" width="5.625" style="2" customWidth="1"/>
    <col min="8993" max="8993" width="9" style="2"/>
    <col min="8994" max="8994" width="11.625" style="2" bestFit="1" customWidth="1"/>
    <col min="8995" max="9212" width="9" style="2"/>
    <col min="9213" max="9213" width="14.875" style="2" customWidth="1"/>
    <col min="9214" max="9216" width="3.625" style="2" customWidth="1"/>
    <col min="9217" max="9218" width="12.625" style="2" customWidth="1"/>
    <col min="9219" max="9219" width="6" style="2" customWidth="1"/>
    <col min="9220" max="9220" width="12.625" style="2" customWidth="1"/>
    <col min="9221" max="9221" width="6" style="2" customWidth="1"/>
    <col min="9222" max="9231" width="3.875" style="2" customWidth="1"/>
    <col min="9232" max="9232" width="2.5" style="2" customWidth="1"/>
    <col min="9233" max="9233" width="12.375" style="2" customWidth="1"/>
    <col min="9234" max="9234" width="9.125" style="2" bestFit="1" customWidth="1"/>
    <col min="9235" max="9236" width="9" style="2"/>
    <col min="9237" max="9237" width="4.5" style="2" bestFit="1" customWidth="1"/>
    <col min="9238" max="9238" width="9" style="2"/>
    <col min="9239" max="9239" width="4.5" style="2" bestFit="1" customWidth="1"/>
    <col min="9240" max="9241" width="5.625" style="2" customWidth="1"/>
    <col min="9242" max="9242" width="9" style="2"/>
    <col min="9243" max="9243" width="5.625" style="2" customWidth="1"/>
    <col min="9244" max="9244" width="9" style="2"/>
    <col min="9245" max="9246" width="5.625" style="2" customWidth="1"/>
    <col min="9247" max="9247" width="9" style="2"/>
    <col min="9248" max="9248" width="5.625" style="2" customWidth="1"/>
    <col min="9249" max="9249" width="9" style="2"/>
    <col min="9250" max="9250" width="11.625" style="2" bestFit="1" customWidth="1"/>
    <col min="9251" max="9468" width="9" style="2"/>
    <col min="9469" max="9469" width="14.875" style="2" customWidth="1"/>
    <col min="9470" max="9472" width="3.625" style="2" customWidth="1"/>
    <col min="9473" max="9474" width="12.625" style="2" customWidth="1"/>
    <col min="9475" max="9475" width="6" style="2" customWidth="1"/>
    <col min="9476" max="9476" width="12.625" style="2" customWidth="1"/>
    <col min="9477" max="9477" width="6" style="2" customWidth="1"/>
    <col min="9478" max="9487" width="3.875" style="2" customWidth="1"/>
    <col min="9488" max="9488" width="2.5" style="2" customWidth="1"/>
    <col min="9489" max="9489" width="12.375" style="2" customWidth="1"/>
    <col min="9490" max="9490" width="9.125" style="2" bestFit="1" customWidth="1"/>
    <col min="9491" max="9492" width="9" style="2"/>
    <col min="9493" max="9493" width="4.5" style="2" bestFit="1" customWidth="1"/>
    <col min="9494" max="9494" width="9" style="2"/>
    <col min="9495" max="9495" width="4.5" style="2" bestFit="1" customWidth="1"/>
    <col min="9496" max="9497" width="5.625" style="2" customWidth="1"/>
    <col min="9498" max="9498" width="9" style="2"/>
    <col min="9499" max="9499" width="5.625" style="2" customWidth="1"/>
    <col min="9500" max="9500" width="9" style="2"/>
    <col min="9501" max="9502" width="5.625" style="2" customWidth="1"/>
    <col min="9503" max="9503" width="9" style="2"/>
    <col min="9504" max="9504" width="5.625" style="2" customWidth="1"/>
    <col min="9505" max="9505" width="9" style="2"/>
    <col min="9506" max="9506" width="11.625" style="2" bestFit="1" customWidth="1"/>
    <col min="9507" max="9724" width="9" style="2"/>
    <col min="9725" max="9725" width="14.875" style="2" customWidth="1"/>
    <col min="9726" max="9728" width="3.625" style="2" customWidth="1"/>
    <col min="9729" max="9730" width="12.625" style="2" customWidth="1"/>
    <col min="9731" max="9731" width="6" style="2" customWidth="1"/>
    <col min="9732" max="9732" width="12.625" style="2" customWidth="1"/>
    <col min="9733" max="9733" width="6" style="2" customWidth="1"/>
    <col min="9734" max="9743" width="3.875" style="2" customWidth="1"/>
    <col min="9744" max="9744" width="2.5" style="2" customWidth="1"/>
    <col min="9745" max="9745" width="12.375" style="2" customWidth="1"/>
    <col min="9746" max="9746" width="9.125" style="2" bestFit="1" customWidth="1"/>
    <col min="9747" max="9748" width="9" style="2"/>
    <col min="9749" max="9749" width="4.5" style="2" bestFit="1" customWidth="1"/>
    <col min="9750" max="9750" width="9" style="2"/>
    <col min="9751" max="9751" width="4.5" style="2" bestFit="1" customWidth="1"/>
    <col min="9752" max="9753" width="5.625" style="2" customWidth="1"/>
    <col min="9754" max="9754" width="9" style="2"/>
    <col min="9755" max="9755" width="5.625" style="2" customWidth="1"/>
    <col min="9756" max="9756" width="9" style="2"/>
    <col min="9757" max="9758" width="5.625" style="2" customWidth="1"/>
    <col min="9759" max="9759" width="9" style="2"/>
    <col min="9760" max="9760" width="5.625" style="2" customWidth="1"/>
    <col min="9761" max="9761" width="9" style="2"/>
    <col min="9762" max="9762" width="11.625" style="2" bestFit="1" customWidth="1"/>
    <col min="9763" max="9980" width="9" style="2"/>
    <col min="9981" max="9981" width="14.875" style="2" customWidth="1"/>
    <col min="9982" max="9984" width="3.625" style="2" customWidth="1"/>
    <col min="9985" max="9986" width="12.625" style="2" customWidth="1"/>
    <col min="9987" max="9987" width="6" style="2" customWidth="1"/>
    <col min="9988" max="9988" width="12.625" style="2" customWidth="1"/>
    <col min="9989" max="9989" width="6" style="2" customWidth="1"/>
    <col min="9990" max="9999" width="3.875" style="2" customWidth="1"/>
    <col min="10000" max="10000" width="2.5" style="2" customWidth="1"/>
    <col min="10001" max="10001" width="12.375" style="2" customWidth="1"/>
    <col min="10002" max="10002" width="9.125" style="2" bestFit="1" customWidth="1"/>
    <col min="10003" max="10004" width="9" style="2"/>
    <col min="10005" max="10005" width="4.5" style="2" bestFit="1" customWidth="1"/>
    <col min="10006" max="10006" width="9" style="2"/>
    <col min="10007" max="10007" width="4.5" style="2" bestFit="1" customWidth="1"/>
    <col min="10008" max="10009" width="5.625" style="2" customWidth="1"/>
    <col min="10010" max="10010" width="9" style="2"/>
    <col min="10011" max="10011" width="5.625" style="2" customWidth="1"/>
    <col min="10012" max="10012" width="9" style="2"/>
    <col min="10013" max="10014" width="5.625" style="2" customWidth="1"/>
    <col min="10015" max="10015" width="9" style="2"/>
    <col min="10016" max="10016" width="5.625" style="2" customWidth="1"/>
    <col min="10017" max="10017" width="9" style="2"/>
    <col min="10018" max="10018" width="11.625" style="2" bestFit="1" customWidth="1"/>
    <col min="10019" max="10236" width="9" style="2"/>
    <col min="10237" max="10237" width="14.875" style="2" customWidth="1"/>
    <col min="10238" max="10240" width="3.625" style="2" customWidth="1"/>
    <col min="10241" max="10242" width="12.625" style="2" customWidth="1"/>
    <col min="10243" max="10243" width="6" style="2" customWidth="1"/>
    <col min="10244" max="10244" width="12.625" style="2" customWidth="1"/>
    <col min="10245" max="10245" width="6" style="2" customWidth="1"/>
    <col min="10246" max="10255" width="3.875" style="2" customWidth="1"/>
    <col min="10256" max="10256" width="2.5" style="2" customWidth="1"/>
    <col min="10257" max="10257" width="12.375" style="2" customWidth="1"/>
    <col min="10258" max="10258" width="9.125" style="2" bestFit="1" customWidth="1"/>
    <col min="10259" max="10260" width="9" style="2"/>
    <col min="10261" max="10261" width="4.5" style="2" bestFit="1" customWidth="1"/>
    <col min="10262" max="10262" width="9" style="2"/>
    <col min="10263" max="10263" width="4.5" style="2" bestFit="1" customWidth="1"/>
    <col min="10264" max="10265" width="5.625" style="2" customWidth="1"/>
    <col min="10266" max="10266" width="9" style="2"/>
    <col min="10267" max="10267" width="5.625" style="2" customWidth="1"/>
    <col min="10268" max="10268" width="9" style="2"/>
    <col min="10269" max="10270" width="5.625" style="2" customWidth="1"/>
    <col min="10271" max="10271" width="9" style="2"/>
    <col min="10272" max="10272" width="5.625" style="2" customWidth="1"/>
    <col min="10273" max="10273" width="9" style="2"/>
    <col min="10274" max="10274" width="11.625" style="2" bestFit="1" customWidth="1"/>
    <col min="10275" max="10492" width="9" style="2"/>
    <col min="10493" max="10493" width="14.875" style="2" customWidth="1"/>
    <col min="10494" max="10496" width="3.625" style="2" customWidth="1"/>
    <col min="10497" max="10498" width="12.625" style="2" customWidth="1"/>
    <col min="10499" max="10499" width="6" style="2" customWidth="1"/>
    <col min="10500" max="10500" width="12.625" style="2" customWidth="1"/>
    <col min="10501" max="10501" width="6" style="2" customWidth="1"/>
    <col min="10502" max="10511" width="3.875" style="2" customWidth="1"/>
    <col min="10512" max="10512" width="2.5" style="2" customWidth="1"/>
    <col min="10513" max="10513" width="12.375" style="2" customWidth="1"/>
    <col min="10514" max="10514" width="9.125" style="2" bestFit="1" customWidth="1"/>
    <col min="10515" max="10516" width="9" style="2"/>
    <col min="10517" max="10517" width="4.5" style="2" bestFit="1" customWidth="1"/>
    <col min="10518" max="10518" width="9" style="2"/>
    <col min="10519" max="10519" width="4.5" style="2" bestFit="1" customWidth="1"/>
    <col min="10520" max="10521" width="5.625" style="2" customWidth="1"/>
    <col min="10522" max="10522" width="9" style="2"/>
    <col min="10523" max="10523" width="5.625" style="2" customWidth="1"/>
    <col min="10524" max="10524" width="9" style="2"/>
    <col min="10525" max="10526" width="5.625" style="2" customWidth="1"/>
    <col min="10527" max="10527" width="9" style="2"/>
    <col min="10528" max="10528" width="5.625" style="2" customWidth="1"/>
    <col min="10529" max="10529" width="9" style="2"/>
    <col min="10530" max="10530" width="11.625" style="2" bestFit="1" customWidth="1"/>
    <col min="10531" max="10748" width="9" style="2"/>
    <col min="10749" max="10749" width="14.875" style="2" customWidth="1"/>
    <col min="10750" max="10752" width="3.625" style="2" customWidth="1"/>
    <col min="10753" max="10754" width="12.625" style="2" customWidth="1"/>
    <col min="10755" max="10755" width="6" style="2" customWidth="1"/>
    <col min="10756" max="10756" width="12.625" style="2" customWidth="1"/>
    <col min="10757" max="10757" width="6" style="2" customWidth="1"/>
    <col min="10758" max="10767" width="3.875" style="2" customWidth="1"/>
    <col min="10768" max="10768" width="2.5" style="2" customWidth="1"/>
    <col min="10769" max="10769" width="12.375" style="2" customWidth="1"/>
    <col min="10770" max="10770" width="9.125" style="2" bestFit="1" customWidth="1"/>
    <col min="10771" max="10772" width="9" style="2"/>
    <col min="10773" max="10773" width="4.5" style="2" bestFit="1" customWidth="1"/>
    <col min="10774" max="10774" width="9" style="2"/>
    <col min="10775" max="10775" width="4.5" style="2" bestFit="1" customWidth="1"/>
    <col min="10776" max="10777" width="5.625" style="2" customWidth="1"/>
    <col min="10778" max="10778" width="9" style="2"/>
    <col min="10779" max="10779" width="5.625" style="2" customWidth="1"/>
    <col min="10780" max="10780" width="9" style="2"/>
    <col min="10781" max="10782" width="5.625" style="2" customWidth="1"/>
    <col min="10783" max="10783" width="9" style="2"/>
    <col min="10784" max="10784" width="5.625" style="2" customWidth="1"/>
    <col min="10785" max="10785" width="9" style="2"/>
    <col min="10786" max="10786" width="11.625" style="2" bestFit="1" customWidth="1"/>
    <col min="10787" max="11004" width="9" style="2"/>
    <col min="11005" max="11005" width="14.875" style="2" customWidth="1"/>
    <col min="11006" max="11008" width="3.625" style="2" customWidth="1"/>
    <col min="11009" max="11010" width="12.625" style="2" customWidth="1"/>
    <col min="11011" max="11011" width="6" style="2" customWidth="1"/>
    <col min="11012" max="11012" width="12.625" style="2" customWidth="1"/>
    <col min="11013" max="11013" width="6" style="2" customWidth="1"/>
    <col min="11014" max="11023" width="3.875" style="2" customWidth="1"/>
    <col min="11024" max="11024" width="2.5" style="2" customWidth="1"/>
    <col min="11025" max="11025" width="12.375" style="2" customWidth="1"/>
    <col min="11026" max="11026" width="9.125" style="2" bestFit="1" customWidth="1"/>
    <col min="11027" max="11028" width="9" style="2"/>
    <col min="11029" max="11029" width="4.5" style="2" bestFit="1" customWidth="1"/>
    <col min="11030" max="11030" width="9" style="2"/>
    <col min="11031" max="11031" width="4.5" style="2" bestFit="1" customWidth="1"/>
    <col min="11032" max="11033" width="5.625" style="2" customWidth="1"/>
    <col min="11034" max="11034" width="9" style="2"/>
    <col min="11035" max="11035" width="5.625" style="2" customWidth="1"/>
    <col min="11036" max="11036" width="9" style="2"/>
    <col min="11037" max="11038" width="5.625" style="2" customWidth="1"/>
    <col min="11039" max="11039" width="9" style="2"/>
    <col min="11040" max="11040" width="5.625" style="2" customWidth="1"/>
    <col min="11041" max="11041" width="9" style="2"/>
    <col min="11042" max="11042" width="11.625" style="2" bestFit="1" customWidth="1"/>
    <col min="11043" max="11260" width="9" style="2"/>
    <col min="11261" max="11261" width="14.875" style="2" customWidth="1"/>
    <col min="11262" max="11264" width="3.625" style="2" customWidth="1"/>
    <col min="11265" max="11266" width="12.625" style="2" customWidth="1"/>
    <col min="11267" max="11267" width="6" style="2" customWidth="1"/>
    <col min="11268" max="11268" width="12.625" style="2" customWidth="1"/>
    <col min="11269" max="11269" width="6" style="2" customWidth="1"/>
    <col min="11270" max="11279" width="3.875" style="2" customWidth="1"/>
    <col min="11280" max="11280" width="2.5" style="2" customWidth="1"/>
    <col min="11281" max="11281" width="12.375" style="2" customWidth="1"/>
    <col min="11282" max="11282" width="9.125" style="2" bestFit="1" customWidth="1"/>
    <col min="11283" max="11284" width="9" style="2"/>
    <col min="11285" max="11285" width="4.5" style="2" bestFit="1" customWidth="1"/>
    <col min="11286" max="11286" width="9" style="2"/>
    <col min="11287" max="11287" width="4.5" style="2" bestFit="1" customWidth="1"/>
    <col min="11288" max="11289" width="5.625" style="2" customWidth="1"/>
    <col min="11290" max="11290" width="9" style="2"/>
    <col min="11291" max="11291" width="5.625" style="2" customWidth="1"/>
    <col min="11292" max="11292" width="9" style="2"/>
    <col min="11293" max="11294" width="5.625" style="2" customWidth="1"/>
    <col min="11295" max="11295" width="9" style="2"/>
    <col min="11296" max="11296" width="5.625" style="2" customWidth="1"/>
    <col min="11297" max="11297" width="9" style="2"/>
    <col min="11298" max="11298" width="11.625" style="2" bestFit="1" customWidth="1"/>
    <col min="11299" max="11516" width="9" style="2"/>
    <col min="11517" max="11517" width="14.875" style="2" customWidth="1"/>
    <col min="11518" max="11520" width="3.625" style="2" customWidth="1"/>
    <col min="11521" max="11522" width="12.625" style="2" customWidth="1"/>
    <col min="11523" max="11523" width="6" style="2" customWidth="1"/>
    <col min="11524" max="11524" width="12.625" style="2" customWidth="1"/>
    <col min="11525" max="11525" width="6" style="2" customWidth="1"/>
    <col min="11526" max="11535" width="3.875" style="2" customWidth="1"/>
    <col min="11536" max="11536" width="2.5" style="2" customWidth="1"/>
    <col min="11537" max="11537" width="12.375" style="2" customWidth="1"/>
    <col min="11538" max="11538" width="9.125" style="2" bestFit="1" customWidth="1"/>
    <col min="11539" max="11540" width="9" style="2"/>
    <col min="11541" max="11541" width="4.5" style="2" bestFit="1" customWidth="1"/>
    <col min="11542" max="11542" width="9" style="2"/>
    <col min="11543" max="11543" width="4.5" style="2" bestFit="1" customWidth="1"/>
    <col min="11544" max="11545" width="5.625" style="2" customWidth="1"/>
    <col min="11546" max="11546" width="9" style="2"/>
    <col min="11547" max="11547" width="5.625" style="2" customWidth="1"/>
    <col min="11548" max="11548" width="9" style="2"/>
    <col min="11549" max="11550" width="5.625" style="2" customWidth="1"/>
    <col min="11551" max="11551" width="9" style="2"/>
    <col min="11552" max="11552" width="5.625" style="2" customWidth="1"/>
    <col min="11553" max="11553" width="9" style="2"/>
    <col min="11554" max="11554" width="11.625" style="2" bestFit="1" customWidth="1"/>
    <col min="11555" max="11772" width="9" style="2"/>
    <col min="11773" max="11773" width="14.875" style="2" customWidth="1"/>
    <col min="11774" max="11776" width="3.625" style="2" customWidth="1"/>
    <col min="11777" max="11778" width="12.625" style="2" customWidth="1"/>
    <col min="11779" max="11779" width="6" style="2" customWidth="1"/>
    <col min="11780" max="11780" width="12.625" style="2" customWidth="1"/>
    <col min="11781" max="11781" width="6" style="2" customWidth="1"/>
    <col min="11782" max="11791" width="3.875" style="2" customWidth="1"/>
    <col min="11792" max="11792" width="2.5" style="2" customWidth="1"/>
    <col min="11793" max="11793" width="12.375" style="2" customWidth="1"/>
    <col min="11794" max="11794" width="9.125" style="2" bestFit="1" customWidth="1"/>
    <col min="11795" max="11796" width="9" style="2"/>
    <col min="11797" max="11797" width="4.5" style="2" bestFit="1" customWidth="1"/>
    <col min="11798" max="11798" width="9" style="2"/>
    <col min="11799" max="11799" width="4.5" style="2" bestFit="1" customWidth="1"/>
    <col min="11800" max="11801" width="5.625" style="2" customWidth="1"/>
    <col min="11802" max="11802" width="9" style="2"/>
    <col min="11803" max="11803" width="5.625" style="2" customWidth="1"/>
    <col min="11804" max="11804" width="9" style="2"/>
    <col min="11805" max="11806" width="5.625" style="2" customWidth="1"/>
    <col min="11807" max="11807" width="9" style="2"/>
    <col min="11808" max="11808" width="5.625" style="2" customWidth="1"/>
    <col min="11809" max="11809" width="9" style="2"/>
    <col min="11810" max="11810" width="11.625" style="2" bestFit="1" customWidth="1"/>
    <col min="11811" max="12028" width="9" style="2"/>
    <col min="12029" max="12029" width="14.875" style="2" customWidth="1"/>
    <col min="12030" max="12032" width="3.625" style="2" customWidth="1"/>
    <col min="12033" max="12034" width="12.625" style="2" customWidth="1"/>
    <col min="12035" max="12035" width="6" style="2" customWidth="1"/>
    <col min="12036" max="12036" width="12.625" style="2" customWidth="1"/>
    <col min="12037" max="12037" width="6" style="2" customWidth="1"/>
    <col min="12038" max="12047" width="3.875" style="2" customWidth="1"/>
    <col min="12048" max="12048" width="2.5" style="2" customWidth="1"/>
    <col min="12049" max="12049" width="12.375" style="2" customWidth="1"/>
    <col min="12050" max="12050" width="9.125" style="2" bestFit="1" customWidth="1"/>
    <col min="12051" max="12052" width="9" style="2"/>
    <col min="12053" max="12053" width="4.5" style="2" bestFit="1" customWidth="1"/>
    <col min="12054" max="12054" width="9" style="2"/>
    <col min="12055" max="12055" width="4.5" style="2" bestFit="1" customWidth="1"/>
    <col min="12056" max="12057" width="5.625" style="2" customWidth="1"/>
    <col min="12058" max="12058" width="9" style="2"/>
    <col min="12059" max="12059" width="5.625" style="2" customWidth="1"/>
    <col min="12060" max="12060" width="9" style="2"/>
    <col min="12061" max="12062" width="5.625" style="2" customWidth="1"/>
    <col min="12063" max="12063" width="9" style="2"/>
    <col min="12064" max="12064" width="5.625" style="2" customWidth="1"/>
    <col min="12065" max="12065" width="9" style="2"/>
    <col min="12066" max="12066" width="11.625" style="2" bestFit="1" customWidth="1"/>
    <col min="12067" max="12284" width="9" style="2"/>
    <col min="12285" max="12285" width="14.875" style="2" customWidth="1"/>
    <col min="12286" max="12288" width="3.625" style="2" customWidth="1"/>
    <col min="12289" max="12290" width="12.625" style="2" customWidth="1"/>
    <col min="12291" max="12291" width="6" style="2" customWidth="1"/>
    <col min="12292" max="12292" width="12.625" style="2" customWidth="1"/>
    <col min="12293" max="12293" width="6" style="2" customWidth="1"/>
    <col min="12294" max="12303" width="3.875" style="2" customWidth="1"/>
    <col min="12304" max="12304" width="2.5" style="2" customWidth="1"/>
    <col min="12305" max="12305" width="12.375" style="2" customWidth="1"/>
    <col min="12306" max="12306" width="9.125" style="2" bestFit="1" customWidth="1"/>
    <col min="12307" max="12308" width="9" style="2"/>
    <col min="12309" max="12309" width="4.5" style="2" bestFit="1" customWidth="1"/>
    <col min="12310" max="12310" width="9" style="2"/>
    <col min="12311" max="12311" width="4.5" style="2" bestFit="1" customWidth="1"/>
    <col min="12312" max="12313" width="5.625" style="2" customWidth="1"/>
    <col min="12314" max="12314" width="9" style="2"/>
    <col min="12315" max="12315" width="5.625" style="2" customWidth="1"/>
    <col min="12316" max="12316" width="9" style="2"/>
    <col min="12317" max="12318" width="5.625" style="2" customWidth="1"/>
    <col min="12319" max="12319" width="9" style="2"/>
    <col min="12320" max="12320" width="5.625" style="2" customWidth="1"/>
    <col min="12321" max="12321" width="9" style="2"/>
    <col min="12322" max="12322" width="11.625" style="2" bestFit="1" customWidth="1"/>
    <col min="12323" max="12540" width="9" style="2"/>
    <col min="12541" max="12541" width="14.875" style="2" customWidth="1"/>
    <col min="12542" max="12544" width="3.625" style="2" customWidth="1"/>
    <col min="12545" max="12546" width="12.625" style="2" customWidth="1"/>
    <col min="12547" max="12547" width="6" style="2" customWidth="1"/>
    <col min="12548" max="12548" width="12.625" style="2" customWidth="1"/>
    <col min="12549" max="12549" width="6" style="2" customWidth="1"/>
    <col min="12550" max="12559" width="3.875" style="2" customWidth="1"/>
    <col min="12560" max="12560" width="2.5" style="2" customWidth="1"/>
    <col min="12561" max="12561" width="12.375" style="2" customWidth="1"/>
    <col min="12562" max="12562" width="9.125" style="2" bestFit="1" customWidth="1"/>
    <col min="12563" max="12564" width="9" style="2"/>
    <col min="12565" max="12565" width="4.5" style="2" bestFit="1" customWidth="1"/>
    <col min="12566" max="12566" width="9" style="2"/>
    <col min="12567" max="12567" width="4.5" style="2" bestFit="1" customWidth="1"/>
    <col min="12568" max="12569" width="5.625" style="2" customWidth="1"/>
    <col min="12570" max="12570" width="9" style="2"/>
    <col min="12571" max="12571" width="5.625" style="2" customWidth="1"/>
    <col min="12572" max="12572" width="9" style="2"/>
    <col min="12573" max="12574" width="5.625" style="2" customWidth="1"/>
    <col min="12575" max="12575" width="9" style="2"/>
    <col min="12576" max="12576" width="5.625" style="2" customWidth="1"/>
    <col min="12577" max="12577" width="9" style="2"/>
    <col min="12578" max="12578" width="11.625" style="2" bestFit="1" customWidth="1"/>
    <col min="12579" max="12796" width="9" style="2"/>
    <col min="12797" max="12797" width="14.875" style="2" customWidth="1"/>
    <col min="12798" max="12800" width="3.625" style="2" customWidth="1"/>
    <col min="12801" max="12802" width="12.625" style="2" customWidth="1"/>
    <col min="12803" max="12803" width="6" style="2" customWidth="1"/>
    <col min="12804" max="12804" width="12.625" style="2" customWidth="1"/>
    <col min="12805" max="12805" width="6" style="2" customWidth="1"/>
    <col min="12806" max="12815" width="3.875" style="2" customWidth="1"/>
    <col min="12816" max="12816" width="2.5" style="2" customWidth="1"/>
    <col min="12817" max="12817" width="12.375" style="2" customWidth="1"/>
    <col min="12818" max="12818" width="9.125" style="2" bestFit="1" customWidth="1"/>
    <col min="12819" max="12820" width="9" style="2"/>
    <col min="12821" max="12821" width="4.5" style="2" bestFit="1" customWidth="1"/>
    <col min="12822" max="12822" width="9" style="2"/>
    <col min="12823" max="12823" width="4.5" style="2" bestFit="1" customWidth="1"/>
    <col min="12824" max="12825" width="5.625" style="2" customWidth="1"/>
    <col min="12826" max="12826" width="9" style="2"/>
    <col min="12827" max="12827" width="5.625" style="2" customWidth="1"/>
    <col min="12828" max="12828" width="9" style="2"/>
    <col min="12829" max="12830" width="5.625" style="2" customWidth="1"/>
    <col min="12831" max="12831" width="9" style="2"/>
    <col min="12832" max="12832" width="5.625" style="2" customWidth="1"/>
    <col min="12833" max="12833" width="9" style="2"/>
    <col min="12834" max="12834" width="11.625" style="2" bestFit="1" customWidth="1"/>
    <col min="12835" max="13052" width="9" style="2"/>
    <col min="13053" max="13053" width="14.875" style="2" customWidth="1"/>
    <col min="13054" max="13056" width="3.625" style="2" customWidth="1"/>
    <col min="13057" max="13058" width="12.625" style="2" customWidth="1"/>
    <col min="13059" max="13059" width="6" style="2" customWidth="1"/>
    <col min="13060" max="13060" width="12.625" style="2" customWidth="1"/>
    <col min="13061" max="13061" width="6" style="2" customWidth="1"/>
    <col min="13062" max="13071" width="3.875" style="2" customWidth="1"/>
    <col min="13072" max="13072" width="2.5" style="2" customWidth="1"/>
    <col min="13073" max="13073" width="12.375" style="2" customWidth="1"/>
    <col min="13074" max="13074" width="9.125" style="2" bestFit="1" customWidth="1"/>
    <col min="13075" max="13076" width="9" style="2"/>
    <col min="13077" max="13077" width="4.5" style="2" bestFit="1" customWidth="1"/>
    <col min="13078" max="13078" width="9" style="2"/>
    <col min="13079" max="13079" width="4.5" style="2" bestFit="1" customWidth="1"/>
    <col min="13080" max="13081" width="5.625" style="2" customWidth="1"/>
    <col min="13082" max="13082" width="9" style="2"/>
    <col min="13083" max="13083" width="5.625" style="2" customWidth="1"/>
    <col min="13084" max="13084" width="9" style="2"/>
    <col min="13085" max="13086" width="5.625" style="2" customWidth="1"/>
    <col min="13087" max="13087" width="9" style="2"/>
    <col min="13088" max="13088" width="5.625" style="2" customWidth="1"/>
    <col min="13089" max="13089" width="9" style="2"/>
    <col min="13090" max="13090" width="11.625" style="2" bestFit="1" customWidth="1"/>
    <col min="13091" max="13308" width="9" style="2"/>
    <col min="13309" max="13309" width="14.875" style="2" customWidth="1"/>
    <col min="13310" max="13312" width="3.625" style="2" customWidth="1"/>
    <col min="13313" max="13314" width="12.625" style="2" customWidth="1"/>
    <col min="13315" max="13315" width="6" style="2" customWidth="1"/>
    <col min="13316" max="13316" width="12.625" style="2" customWidth="1"/>
    <col min="13317" max="13317" width="6" style="2" customWidth="1"/>
    <col min="13318" max="13327" width="3.875" style="2" customWidth="1"/>
    <col min="13328" max="13328" width="2.5" style="2" customWidth="1"/>
    <col min="13329" max="13329" width="12.375" style="2" customWidth="1"/>
    <col min="13330" max="13330" width="9.125" style="2" bestFit="1" customWidth="1"/>
    <col min="13331" max="13332" width="9" style="2"/>
    <col min="13333" max="13333" width="4.5" style="2" bestFit="1" customWidth="1"/>
    <col min="13334" max="13334" width="9" style="2"/>
    <col min="13335" max="13335" width="4.5" style="2" bestFit="1" customWidth="1"/>
    <col min="13336" max="13337" width="5.625" style="2" customWidth="1"/>
    <col min="13338" max="13338" width="9" style="2"/>
    <col min="13339" max="13339" width="5.625" style="2" customWidth="1"/>
    <col min="13340" max="13340" width="9" style="2"/>
    <col min="13341" max="13342" width="5.625" style="2" customWidth="1"/>
    <col min="13343" max="13343" width="9" style="2"/>
    <col min="13344" max="13344" width="5.625" style="2" customWidth="1"/>
    <col min="13345" max="13345" width="9" style="2"/>
    <col min="13346" max="13346" width="11.625" style="2" bestFit="1" customWidth="1"/>
    <col min="13347" max="13564" width="9" style="2"/>
    <col min="13565" max="13565" width="14.875" style="2" customWidth="1"/>
    <col min="13566" max="13568" width="3.625" style="2" customWidth="1"/>
    <col min="13569" max="13570" width="12.625" style="2" customWidth="1"/>
    <col min="13571" max="13571" width="6" style="2" customWidth="1"/>
    <col min="13572" max="13572" width="12.625" style="2" customWidth="1"/>
    <col min="13573" max="13573" width="6" style="2" customWidth="1"/>
    <col min="13574" max="13583" width="3.875" style="2" customWidth="1"/>
    <col min="13584" max="13584" width="2.5" style="2" customWidth="1"/>
    <col min="13585" max="13585" width="12.375" style="2" customWidth="1"/>
    <col min="13586" max="13586" width="9.125" style="2" bestFit="1" customWidth="1"/>
    <col min="13587" max="13588" width="9" style="2"/>
    <col min="13589" max="13589" width="4.5" style="2" bestFit="1" customWidth="1"/>
    <col min="13590" max="13590" width="9" style="2"/>
    <col min="13591" max="13591" width="4.5" style="2" bestFit="1" customWidth="1"/>
    <col min="13592" max="13593" width="5.625" style="2" customWidth="1"/>
    <col min="13594" max="13594" width="9" style="2"/>
    <col min="13595" max="13595" width="5.625" style="2" customWidth="1"/>
    <col min="13596" max="13596" width="9" style="2"/>
    <col min="13597" max="13598" width="5.625" style="2" customWidth="1"/>
    <col min="13599" max="13599" width="9" style="2"/>
    <col min="13600" max="13600" width="5.625" style="2" customWidth="1"/>
    <col min="13601" max="13601" width="9" style="2"/>
    <col min="13602" max="13602" width="11.625" style="2" bestFit="1" customWidth="1"/>
    <col min="13603" max="13820" width="9" style="2"/>
    <col min="13821" max="13821" width="14.875" style="2" customWidth="1"/>
    <col min="13822" max="13824" width="3.625" style="2" customWidth="1"/>
    <col min="13825" max="13826" width="12.625" style="2" customWidth="1"/>
    <col min="13827" max="13827" width="6" style="2" customWidth="1"/>
    <col min="13828" max="13828" width="12.625" style="2" customWidth="1"/>
    <col min="13829" max="13829" width="6" style="2" customWidth="1"/>
    <col min="13830" max="13839" width="3.875" style="2" customWidth="1"/>
    <col min="13840" max="13840" width="2.5" style="2" customWidth="1"/>
    <col min="13841" max="13841" width="12.375" style="2" customWidth="1"/>
    <col min="13842" max="13842" width="9.125" style="2" bestFit="1" customWidth="1"/>
    <col min="13843" max="13844" width="9" style="2"/>
    <col min="13845" max="13845" width="4.5" style="2" bestFit="1" customWidth="1"/>
    <col min="13846" max="13846" width="9" style="2"/>
    <col min="13847" max="13847" width="4.5" style="2" bestFit="1" customWidth="1"/>
    <col min="13848" max="13849" width="5.625" style="2" customWidth="1"/>
    <col min="13850" max="13850" width="9" style="2"/>
    <col min="13851" max="13851" width="5.625" style="2" customWidth="1"/>
    <col min="13852" max="13852" width="9" style="2"/>
    <col min="13853" max="13854" width="5.625" style="2" customWidth="1"/>
    <col min="13855" max="13855" width="9" style="2"/>
    <col min="13856" max="13856" width="5.625" style="2" customWidth="1"/>
    <col min="13857" max="13857" width="9" style="2"/>
    <col min="13858" max="13858" width="11.625" style="2" bestFit="1" customWidth="1"/>
    <col min="13859" max="14076" width="9" style="2"/>
    <col min="14077" max="14077" width="14.875" style="2" customWidth="1"/>
    <col min="14078" max="14080" width="3.625" style="2" customWidth="1"/>
    <col min="14081" max="14082" width="12.625" style="2" customWidth="1"/>
    <col min="14083" max="14083" width="6" style="2" customWidth="1"/>
    <col min="14084" max="14084" width="12.625" style="2" customWidth="1"/>
    <col min="14085" max="14085" width="6" style="2" customWidth="1"/>
    <col min="14086" max="14095" width="3.875" style="2" customWidth="1"/>
    <col min="14096" max="14096" width="2.5" style="2" customWidth="1"/>
    <col min="14097" max="14097" width="12.375" style="2" customWidth="1"/>
    <col min="14098" max="14098" width="9.125" style="2" bestFit="1" customWidth="1"/>
    <col min="14099" max="14100" width="9" style="2"/>
    <col min="14101" max="14101" width="4.5" style="2" bestFit="1" customWidth="1"/>
    <col min="14102" max="14102" width="9" style="2"/>
    <col min="14103" max="14103" width="4.5" style="2" bestFit="1" customWidth="1"/>
    <col min="14104" max="14105" width="5.625" style="2" customWidth="1"/>
    <col min="14106" max="14106" width="9" style="2"/>
    <col min="14107" max="14107" width="5.625" style="2" customWidth="1"/>
    <col min="14108" max="14108" width="9" style="2"/>
    <col min="14109" max="14110" width="5.625" style="2" customWidth="1"/>
    <col min="14111" max="14111" width="9" style="2"/>
    <col min="14112" max="14112" width="5.625" style="2" customWidth="1"/>
    <col min="14113" max="14113" width="9" style="2"/>
    <col min="14114" max="14114" width="11.625" style="2" bestFit="1" customWidth="1"/>
    <col min="14115" max="14332" width="9" style="2"/>
    <col min="14333" max="14333" width="14.875" style="2" customWidth="1"/>
    <col min="14334" max="14336" width="3.625" style="2" customWidth="1"/>
    <col min="14337" max="14338" width="12.625" style="2" customWidth="1"/>
    <col min="14339" max="14339" width="6" style="2" customWidth="1"/>
    <col min="14340" max="14340" width="12.625" style="2" customWidth="1"/>
    <col min="14341" max="14341" width="6" style="2" customWidth="1"/>
    <col min="14342" max="14351" width="3.875" style="2" customWidth="1"/>
    <col min="14352" max="14352" width="2.5" style="2" customWidth="1"/>
    <col min="14353" max="14353" width="12.375" style="2" customWidth="1"/>
    <col min="14354" max="14354" width="9.125" style="2" bestFit="1" customWidth="1"/>
    <col min="14355" max="14356" width="9" style="2"/>
    <col min="14357" max="14357" width="4.5" style="2" bestFit="1" customWidth="1"/>
    <col min="14358" max="14358" width="9" style="2"/>
    <col min="14359" max="14359" width="4.5" style="2" bestFit="1" customWidth="1"/>
    <col min="14360" max="14361" width="5.625" style="2" customWidth="1"/>
    <col min="14362" max="14362" width="9" style="2"/>
    <col min="14363" max="14363" width="5.625" style="2" customWidth="1"/>
    <col min="14364" max="14364" width="9" style="2"/>
    <col min="14365" max="14366" width="5.625" style="2" customWidth="1"/>
    <col min="14367" max="14367" width="9" style="2"/>
    <col min="14368" max="14368" width="5.625" style="2" customWidth="1"/>
    <col min="14369" max="14369" width="9" style="2"/>
    <col min="14370" max="14370" width="11.625" style="2" bestFit="1" customWidth="1"/>
    <col min="14371" max="14588" width="9" style="2"/>
    <col min="14589" max="14589" width="14.875" style="2" customWidth="1"/>
    <col min="14590" max="14592" width="3.625" style="2" customWidth="1"/>
    <col min="14593" max="14594" width="12.625" style="2" customWidth="1"/>
    <col min="14595" max="14595" width="6" style="2" customWidth="1"/>
    <col min="14596" max="14596" width="12.625" style="2" customWidth="1"/>
    <col min="14597" max="14597" width="6" style="2" customWidth="1"/>
    <col min="14598" max="14607" width="3.875" style="2" customWidth="1"/>
    <col min="14608" max="14608" width="2.5" style="2" customWidth="1"/>
    <col min="14609" max="14609" width="12.375" style="2" customWidth="1"/>
    <col min="14610" max="14610" width="9.125" style="2" bestFit="1" customWidth="1"/>
    <col min="14611" max="14612" width="9" style="2"/>
    <col min="14613" max="14613" width="4.5" style="2" bestFit="1" customWidth="1"/>
    <col min="14614" max="14614" width="9" style="2"/>
    <col min="14615" max="14615" width="4.5" style="2" bestFit="1" customWidth="1"/>
    <col min="14616" max="14617" width="5.625" style="2" customWidth="1"/>
    <col min="14618" max="14618" width="9" style="2"/>
    <col min="14619" max="14619" width="5.625" style="2" customWidth="1"/>
    <col min="14620" max="14620" width="9" style="2"/>
    <col min="14621" max="14622" width="5.625" style="2" customWidth="1"/>
    <col min="14623" max="14623" width="9" style="2"/>
    <col min="14624" max="14624" width="5.625" style="2" customWidth="1"/>
    <col min="14625" max="14625" width="9" style="2"/>
    <col min="14626" max="14626" width="11.625" style="2" bestFit="1" customWidth="1"/>
    <col min="14627" max="14844" width="9" style="2"/>
    <col min="14845" max="14845" width="14.875" style="2" customWidth="1"/>
    <col min="14846" max="14848" width="3.625" style="2" customWidth="1"/>
    <col min="14849" max="14850" width="12.625" style="2" customWidth="1"/>
    <col min="14851" max="14851" width="6" style="2" customWidth="1"/>
    <col min="14852" max="14852" width="12.625" style="2" customWidth="1"/>
    <col min="14853" max="14853" width="6" style="2" customWidth="1"/>
    <col min="14854" max="14863" width="3.875" style="2" customWidth="1"/>
    <col min="14864" max="14864" width="2.5" style="2" customWidth="1"/>
    <col min="14865" max="14865" width="12.375" style="2" customWidth="1"/>
    <col min="14866" max="14866" width="9.125" style="2" bestFit="1" customWidth="1"/>
    <col min="14867" max="14868" width="9" style="2"/>
    <col min="14869" max="14869" width="4.5" style="2" bestFit="1" customWidth="1"/>
    <col min="14870" max="14870" width="9" style="2"/>
    <col min="14871" max="14871" width="4.5" style="2" bestFit="1" customWidth="1"/>
    <col min="14872" max="14873" width="5.625" style="2" customWidth="1"/>
    <col min="14874" max="14874" width="9" style="2"/>
    <col min="14875" max="14875" width="5.625" style="2" customWidth="1"/>
    <col min="14876" max="14876" width="9" style="2"/>
    <col min="14877" max="14878" width="5.625" style="2" customWidth="1"/>
    <col min="14879" max="14879" width="9" style="2"/>
    <col min="14880" max="14880" width="5.625" style="2" customWidth="1"/>
    <col min="14881" max="14881" width="9" style="2"/>
    <col min="14882" max="14882" width="11.625" style="2" bestFit="1" customWidth="1"/>
    <col min="14883" max="15100" width="9" style="2"/>
    <col min="15101" max="15101" width="14.875" style="2" customWidth="1"/>
    <col min="15102" max="15104" width="3.625" style="2" customWidth="1"/>
    <col min="15105" max="15106" width="12.625" style="2" customWidth="1"/>
    <col min="15107" max="15107" width="6" style="2" customWidth="1"/>
    <col min="15108" max="15108" width="12.625" style="2" customWidth="1"/>
    <col min="15109" max="15109" width="6" style="2" customWidth="1"/>
    <col min="15110" max="15119" width="3.875" style="2" customWidth="1"/>
    <col min="15120" max="15120" width="2.5" style="2" customWidth="1"/>
    <col min="15121" max="15121" width="12.375" style="2" customWidth="1"/>
    <col min="15122" max="15122" width="9.125" style="2" bestFit="1" customWidth="1"/>
    <col min="15123" max="15124" width="9" style="2"/>
    <col min="15125" max="15125" width="4.5" style="2" bestFit="1" customWidth="1"/>
    <col min="15126" max="15126" width="9" style="2"/>
    <col min="15127" max="15127" width="4.5" style="2" bestFit="1" customWidth="1"/>
    <col min="15128" max="15129" width="5.625" style="2" customWidth="1"/>
    <col min="15130" max="15130" width="9" style="2"/>
    <col min="15131" max="15131" width="5.625" style="2" customWidth="1"/>
    <col min="15132" max="15132" width="9" style="2"/>
    <col min="15133" max="15134" width="5.625" style="2" customWidth="1"/>
    <col min="15135" max="15135" width="9" style="2"/>
    <col min="15136" max="15136" width="5.625" style="2" customWidth="1"/>
    <col min="15137" max="15137" width="9" style="2"/>
    <col min="15138" max="15138" width="11.625" style="2" bestFit="1" customWidth="1"/>
    <col min="15139" max="15356" width="9" style="2"/>
    <col min="15357" max="15357" width="14.875" style="2" customWidth="1"/>
    <col min="15358" max="15360" width="3.625" style="2" customWidth="1"/>
    <col min="15361" max="15362" width="12.625" style="2" customWidth="1"/>
    <col min="15363" max="15363" width="6" style="2" customWidth="1"/>
    <col min="15364" max="15364" width="12.625" style="2" customWidth="1"/>
    <col min="15365" max="15365" width="6" style="2" customWidth="1"/>
    <col min="15366" max="15375" width="3.875" style="2" customWidth="1"/>
    <col min="15376" max="15376" width="2.5" style="2" customWidth="1"/>
    <col min="15377" max="15377" width="12.375" style="2" customWidth="1"/>
    <col min="15378" max="15378" width="9.125" style="2" bestFit="1" customWidth="1"/>
    <col min="15379" max="15380" width="9" style="2"/>
    <col min="15381" max="15381" width="4.5" style="2" bestFit="1" customWidth="1"/>
    <col min="15382" max="15382" width="9" style="2"/>
    <col min="15383" max="15383" width="4.5" style="2" bestFit="1" customWidth="1"/>
    <col min="15384" max="15385" width="5.625" style="2" customWidth="1"/>
    <col min="15386" max="15386" width="9" style="2"/>
    <col min="15387" max="15387" width="5.625" style="2" customWidth="1"/>
    <col min="15388" max="15388" width="9" style="2"/>
    <col min="15389" max="15390" width="5.625" style="2" customWidth="1"/>
    <col min="15391" max="15391" width="9" style="2"/>
    <col min="15392" max="15392" width="5.625" style="2" customWidth="1"/>
    <col min="15393" max="15393" width="9" style="2"/>
    <col min="15394" max="15394" width="11.625" style="2" bestFit="1" customWidth="1"/>
    <col min="15395" max="15612" width="9" style="2"/>
    <col min="15613" max="15613" width="14.875" style="2" customWidth="1"/>
    <col min="15614" max="15616" width="3.625" style="2" customWidth="1"/>
    <col min="15617" max="15618" width="12.625" style="2" customWidth="1"/>
    <col min="15619" max="15619" width="6" style="2" customWidth="1"/>
    <col min="15620" max="15620" width="12.625" style="2" customWidth="1"/>
    <col min="15621" max="15621" width="6" style="2" customWidth="1"/>
    <col min="15622" max="15631" width="3.875" style="2" customWidth="1"/>
    <col min="15632" max="15632" width="2.5" style="2" customWidth="1"/>
    <col min="15633" max="15633" width="12.375" style="2" customWidth="1"/>
    <col min="15634" max="15634" width="9.125" style="2" bestFit="1" customWidth="1"/>
    <col min="15635" max="15636" width="9" style="2"/>
    <col min="15637" max="15637" width="4.5" style="2" bestFit="1" customWidth="1"/>
    <col min="15638" max="15638" width="9" style="2"/>
    <col min="15639" max="15639" width="4.5" style="2" bestFit="1" customWidth="1"/>
    <col min="15640" max="15641" width="5.625" style="2" customWidth="1"/>
    <col min="15642" max="15642" width="9" style="2"/>
    <col min="15643" max="15643" width="5.625" style="2" customWidth="1"/>
    <col min="15644" max="15644" width="9" style="2"/>
    <col min="15645" max="15646" width="5.625" style="2" customWidth="1"/>
    <col min="15647" max="15647" width="9" style="2"/>
    <col min="15648" max="15648" width="5.625" style="2" customWidth="1"/>
    <col min="15649" max="15649" width="9" style="2"/>
    <col min="15650" max="15650" width="11.625" style="2" bestFit="1" customWidth="1"/>
    <col min="15651" max="15868" width="9" style="2"/>
    <col min="15869" max="15869" width="14.875" style="2" customWidth="1"/>
    <col min="15870" max="15872" width="3.625" style="2" customWidth="1"/>
    <col min="15873" max="15874" width="12.625" style="2" customWidth="1"/>
    <col min="15875" max="15875" width="6" style="2" customWidth="1"/>
    <col min="15876" max="15876" width="12.625" style="2" customWidth="1"/>
    <col min="15877" max="15877" width="6" style="2" customWidth="1"/>
    <col min="15878" max="15887" width="3.875" style="2" customWidth="1"/>
    <col min="15888" max="15888" width="2.5" style="2" customWidth="1"/>
    <col min="15889" max="15889" width="12.375" style="2" customWidth="1"/>
    <col min="15890" max="15890" width="9.125" style="2" bestFit="1" customWidth="1"/>
    <col min="15891" max="15892" width="9" style="2"/>
    <col min="15893" max="15893" width="4.5" style="2" bestFit="1" customWidth="1"/>
    <col min="15894" max="15894" width="9" style="2"/>
    <col min="15895" max="15895" width="4.5" style="2" bestFit="1" customWidth="1"/>
    <col min="15896" max="15897" width="5.625" style="2" customWidth="1"/>
    <col min="15898" max="15898" width="9" style="2"/>
    <col min="15899" max="15899" width="5.625" style="2" customWidth="1"/>
    <col min="15900" max="15900" width="9" style="2"/>
    <col min="15901" max="15902" width="5.625" style="2" customWidth="1"/>
    <col min="15903" max="15903" width="9" style="2"/>
    <col min="15904" max="15904" width="5.625" style="2" customWidth="1"/>
    <col min="15905" max="15905" width="9" style="2"/>
    <col min="15906" max="15906" width="11.625" style="2" bestFit="1" customWidth="1"/>
    <col min="15907" max="16124" width="9" style="2"/>
    <col min="16125" max="16125" width="14.875" style="2" customWidth="1"/>
    <col min="16126" max="16128" width="3.625" style="2" customWidth="1"/>
    <col min="16129" max="16130" width="12.625" style="2" customWidth="1"/>
    <col min="16131" max="16131" width="6" style="2" customWidth="1"/>
    <col min="16132" max="16132" width="12.625" style="2" customWidth="1"/>
    <col min="16133" max="16133" width="6" style="2" customWidth="1"/>
    <col min="16134" max="16143" width="3.875" style="2" customWidth="1"/>
    <col min="16144" max="16144" width="2.5" style="2" customWidth="1"/>
    <col min="16145" max="16145" width="12.375" style="2" customWidth="1"/>
    <col min="16146" max="16146" width="9.125" style="2" bestFit="1" customWidth="1"/>
    <col min="16147" max="16148" width="9" style="2"/>
    <col min="16149" max="16149" width="4.5" style="2" bestFit="1" customWidth="1"/>
    <col min="16150" max="16150" width="9" style="2"/>
    <col min="16151" max="16151" width="4.5" style="2" bestFit="1" customWidth="1"/>
    <col min="16152" max="16153" width="5.625" style="2" customWidth="1"/>
    <col min="16154" max="16154" width="9" style="2"/>
    <col min="16155" max="16155" width="5.625" style="2" customWidth="1"/>
    <col min="16156" max="16156" width="9" style="2"/>
    <col min="16157" max="16158" width="5.625" style="2" customWidth="1"/>
    <col min="16159" max="16159" width="9" style="2"/>
    <col min="16160" max="16160" width="5.625" style="2" customWidth="1"/>
    <col min="16161" max="16161" width="9" style="2"/>
    <col min="16162" max="16162" width="11.625" style="2" bestFit="1" customWidth="1"/>
    <col min="16163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9" t="s">
        <v>20</v>
      </c>
      <c r="Q1" s="279"/>
      <c r="R1" s="279"/>
      <c r="S1" s="279"/>
      <c r="T1" s="10">
        <f>COUNTA(總表!$D$5:$D$37)</f>
        <v>22</v>
      </c>
      <c r="U1" s="1"/>
    </row>
    <row r="2" spans="1:22" ht="15.75" customHeight="1">
      <c r="A2" s="9"/>
      <c r="B2" s="280" t="s">
        <v>11</v>
      </c>
      <c r="C2" s="280"/>
      <c r="D2" s="280"/>
      <c r="E2" s="280"/>
      <c r="F2" s="280"/>
      <c r="G2" s="280" t="s">
        <v>1192</v>
      </c>
      <c r="H2" s="280"/>
      <c r="I2" s="280"/>
      <c r="J2" s="280"/>
      <c r="K2" s="280"/>
      <c r="L2" s="280"/>
      <c r="M2" s="280"/>
      <c r="N2" s="280"/>
      <c r="O2" s="280"/>
      <c r="P2" s="281" t="s">
        <v>21</v>
      </c>
      <c r="Q2" s="281"/>
      <c r="R2" s="281"/>
      <c r="S2" s="281"/>
      <c r="T2" s="10">
        <f>COUNTA(總表!D31:D37)</f>
        <v>5</v>
      </c>
      <c r="U2" s="3"/>
    </row>
    <row r="3" spans="1:22" ht="14.25" customHeight="1">
      <c r="A3" s="10"/>
      <c r="B3" s="282" t="s">
        <v>22</v>
      </c>
      <c r="C3" s="282" t="s">
        <v>23</v>
      </c>
      <c r="D3" s="282" t="s">
        <v>24</v>
      </c>
      <c r="E3" s="65"/>
      <c r="F3" s="285" t="s">
        <v>25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7"/>
      <c r="S3" s="288" t="s">
        <v>26</v>
      </c>
      <c r="T3" s="289"/>
      <c r="U3" s="3"/>
    </row>
    <row r="4" spans="1:22" ht="14.25" customHeight="1">
      <c r="A4" s="9"/>
      <c r="B4" s="283"/>
      <c r="C4" s="283"/>
      <c r="D4" s="283"/>
      <c r="E4" s="61"/>
      <c r="F4" s="272" t="s">
        <v>27</v>
      </c>
      <c r="G4" s="278" t="s">
        <v>28</v>
      </c>
      <c r="H4" s="282" t="s">
        <v>29</v>
      </c>
      <c r="I4" s="278" t="s">
        <v>28</v>
      </c>
      <c r="J4" s="282" t="s">
        <v>29</v>
      </c>
      <c r="K4" s="286" t="s">
        <v>30</v>
      </c>
      <c r="L4" s="286"/>
      <c r="M4" s="286"/>
      <c r="N4" s="286"/>
      <c r="O4" s="286"/>
      <c r="P4" s="286"/>
      <c r="Q4" s="286"/>
      <c r="R4" s="287"/>
      <c r="S4" s="290"/>
      <c r="T4" s="291"/>
      <c r="U4" s="3"/>
    </row>
    <row r="5" spans="1:22" ht="14.25" customHeight="1">
      <c r="A5" s="10"/>
      <c r="B5" s="283"/>
      <c r="C5" s="283"/>
      <c r="D5" s="283"/>
      <c r="E5" s="61"/>
      <c r="F5" s="272"/>
      <c r="G5" s="278"/>
      <c r="H5" s="283"/>
      <c r="I5" s="278"/>
      <c r="J5" s="283"/>
      <c r="K5" s="282" t="s">
        <v>31</v>
      </c>
      <c r="L5" s="282" t="s">
        <v>32</v>
      </c>
      <c r="M5" s="282" t="s">
        <v>33</v>
      </c>
      <c r="N5" s="282" t="s">
        <v>34</v>
      </c>
      <c r="O5" s="282" t="s">
        <v>35</v>
      </c>
      <c r="P5" s="294" t="s">
        <v>36</v>
      </c>
      <c r="Q5" s="294" t="s">
        <v>37</v>
      </c>
      <c r="R5" s="297" t="s">
        <v>38</v>
      </c>
      <c r="S5" s="290"/>
      <c r="T5" s="291"/>
      <c r="U5" s="3"/>
    </row>
    <row r="6" spans="1:22" ht="14.25" customHeight="1">
      <c r="A6" s="10" t="s">
        <v>1232</v>
      </c>
      <c r="B6" s="283"/>
      <c r="C6" s="283"/>
      <c r="D6" s="283"/>
      <c r="E6" s="61"/>
      <c r="F6" s="272"/>
      <c r="G6" s="278"/>
      <c r="H6" s="283"/>
      <c r="I6" s="278"/>
      <c r="J6" s="283"/>
      <c r="K6" s="283"/>
      <c r="L6" s="283"/>
      <c r="M6" s="283"/>
      <c r="N6" s="283"/>
      <c r="O6" s="283"/>
      <c r="P6" s="295"/>
      <c r="Q6" s="295"/>
      <c r="R6" s="297"/>
      <c r="S6" s="290"/>
      <c r="T6" s="291"/>
      <c r="U6" s="3"/>
    </row>
    <row r="7" spans="1:22" ht="14.25" customHeight="1">
      <c r="A7" s="9" t="s">
        <v>1233</v>
      </c>
      <c r="B7" s="284"/>
      <c r="C7" s="284"/>
      <c r="D7" s="284"/>
      <c r="E7" s="62"/>
      <c r="F7" s="273"/>
      <c r="G7" s="271"/>
      <c r="H7" s="284"/>
      <c r="I7" s="278"/>
      <c r="J7" s="284"/>
      <c r="K7" s="284"/>
      <c r="L7" s="284"/>
      <c r="M7" s="284"/>
      <c r="N7" s="284"/>
      <c r="O7" s="284"/>
      <c r="P7" s="296"/>
      <c r="Q7" s="296"/>
      <c r="R7" s="297"/>
      <c r="S7" s="292"/>
      <c r="T7" s="293"/>
      <c r="U7" s="3"/>
    </row>
    <row r="8" spans="1:22" ht="14.25" customHeight="1">
      <c r="A8" s="9"/>
      <c r="B8" s="314">
        <f>DATE(YEAR(第四周!B56),MONTH(第四周!B56),DAY(第四周!B56)+3)</f>
        <v>45285</v>
      </c>
      <c r="C8" s="315" t="s">
        <v>39</v>
      </c>
      <c r="D8" s="315" t="s">
        <v>40</v>
      </c>
      <c r="E8" s="73">
        <v>1</v>
      </c>
      <c r="F8" s="329" t="str">
        <f>LEFT(總表!$D31,IF(F11=0,LEN(總表!$D31)+3,LEN(總表!$D31)-3))</f>
        <v>水餃</v>
      </c>
      <c r="G8" s="21" t="str">
        <f>IFERROR(IF(VLOOKUP($E8&amp;+$F$8,依據!$A:$C,3,FALSE)=0,"",VLOOKUP($E8&amp;+$F$8,依據!$A:$C,3,FALSE)),"")</f>
        <v>水餃</v>
      </c>
      <c r="H8" s="21" t="s">
        <v>1252</v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74">
        <v>0.7</v>
      </c>
      <c r="L8" s="277">
        <v>0.4</v>
      </c>
      <c r="M8" s="277">
        <v>0</v>
      </c>
      <c r="N8" s="298">
        <v>0</v>
      </c>
      <c r="O8" s="277">
        <f>IF($F8="不供餐","",IFERROR(VLOOKUP($F8,依據!$B:P,15,FALSE),0)+IFERROR(VLOOKUP($F11,依據!$B:P,15,FALSE),0))</f>
        <v>1.04</v>
      </c>
      <c r="P8" s="277">
        <f>IF($F8="不供餐","",IFERROR(VLOOKUP($F8,依據!$B:Q,16,FALSE),0)+IFERROR(VLOOKUP($F11,依據!$B:Q,16,FALSE),0))</f>
        <v>0</v>
      </c>
      <c r="Q8" s="277">
        <f>IF($F8="不供餐","",IFERROR(VLOOKUP($F8,依據!$B:R,17,FALSE),0)+IFERROR(VLOOKUP($F11,依據!$B:R,17,FALSE),0))</f>
        <v>0</v>
      </c>
      <c r="R8" s="301">
        <f>IF($F8="不供餐","",SUM(K8*70+L8*75+M8*120+N8*25+O8*60+P8*45+Q8*4))</f>
        <v>141.4</v>
      </c>
      <c r="S8" s="303" t="s">
        <v>1150</v>
      </c>
      <c r="T8" s="291"/>
      <c r="U8" s="3"/>
    </row>
    <row r="9" spans="1:22" ht="14.25" customHeight="1">
      <c r="A9" s="9"/>
      <c r="B9" s="267"/>
      <c r="C9" s="230"/>
      <c r="D9" s="230"/>
      <c r="E9" s="63">
        <v>2</v>
      </c>
      <c r="F9" s="330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75"/>
      <c r="L9" s="275"/>
      <c r="M9" s="275"/>
      <c r="N9" s="299"/>
      <c r="O9" s="275"/>
      <c r="P9" s="275"/>
      <c r="Q9" s="275"/>
      <c r="R9" s="302"/>
      <c r="S9" s="303"/>
      <c r="T9" s="291"/>
      <c r="U9" s="3"/>
    </row>
    <row r="10" spans="1:22" ht="14.25" customHeight="1">
      <c r="A10" s="9"/>
      <c r="B10" s="267"/>
      <c r="C10" s="230"/>
      <c r="D10" s="230"/>
      <c r="E10" s="63">
        <v>3</v>
      </c>
      <c r="F10" s="331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5"/>
      <c r="L10" s="275"/>
      <c r="M10" s="275"/>
      <c r="N10" s="299"/>
      <c r="O10" s="275"/>
      <c r="P10" s="275"/>
      <c r="Q10" s="275"/>
      <c r="R10" s="302"/>
      <c r="S10" s="303"/>
      <c r="T10" s="291"/>
      <c r="U10" s="3"/>
    </row>
    <row r="11" spans="1:22" ht="14.25" customHeight="1">
      <c r="A11" s="9"/>
      <c r="B11" s="267"/>
      <c r="C11" s="230"/>
      <c r="D11" s="230"/>
      <c r="E11" s="63">
        <v>1</v>
      </c>
      <c r="F11" s="316" t="str">
        <f>IFERROR(IF(FIND("+水果",總表!$D31)&gt;0,"水果",""),0)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1249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5"/>
      <c r="L11" s="275"/>
      <c r="M11" s="275"/>
      <c r="N11" s="299"/>
      <c r="O11" s="275"/>
      <c r="P11" s="275"/>
      <c r="Q11" s="275"/>
      <c r="R11" s="302"/>
      <c r="S11" s="303"/>
      <c r="T11" s="291"/>
      <c r="U11" s="1"/>
      <c r="V11" s="16"/>
    </row>
    <row r="12" spans="1:22" ht="14.25" customHeight="1">
      <c r="A12" s="9"/>
      <c r="B12" s="267"/>
      <c r="C12" s="230"/>
      <c r="D12" s="230"/>
      <c r="E12" s="63">
        <v>2</v>
      </c>
      <c r="F12" s="306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5"/>
      <c r="L12" s="275"/>
      <c r="M12" s="275"/>
      <c r="N12" s="299"/>
      <c r="O12" s="275"/>
      <c r="P12" s="275"/>
      <c r="Q12" s="275"/>
      <c r="R12" s="302"/>
      <c r="S12" s="303"/>
      <c r="T12" s="291"/>
      <c r="U12" s="1"/>
      <c r="V12" s="16"/>
    </row>
    <row r="13" spans="1:22" ht="14.25" customHeight="1">
      <c r="A13" s="9"/>
      <c r="B13" s="267"/>
      <c r="C13" s="230"/>
      <c r="D13" s="270"/>
      <c r="E13" s="64">
        <v>3</v>
      </c>
      <c r="F13" s="307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6"/>
      <c r="L13" s="276"/>
      <c r="M13" s="276"/>
      <c r="N13" s="300"/>
      <c r="O13" s="276"/>
      <c r="P13" s="276"/>
      <c r="Q13" s="276"/>
      <c r="R13" s="302"/>
      <c r="S13" s="304"/>
      <c r="T13" s="293"/>
      <c r="U13" s="1"/>
    </row>
    <row r="14" spans="1:22" ht="14.25" customHeight="1">
      <c r="A14" s="9"/>
      <c r="B14" s="267"/>
      <c r="C14" s="230"/>
      <c r="D14" s="230" t="s">
        <v>41</v>
      </c>
      <c r="E14" s="73">
        <v>1</v>
      </c>
      <c r="F14" s="308" t="str">
        <f>IFERROR(LEFT(總表!$E31,FIND("+",總表!$E31)-1),總表!$E31)</f>
        <v>小兔包</v>
      </c>
      <c r="G14" s="21" t="str">
        <f>IFERROR(IF(VLOOKUP($E14&amp;+$F$14,依據!$A:$C,3,FALSE)=0,"",VLOOKUP($E14&amp;+$F$14,依據!$A:$C,3,FALSE)),"")</f>
        <v>小兔包</v>
      </c>
      <c r="H14" s="21" t="s">
        <v>1242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74">
        <f>IF($F14="不供餐","",IFERROR(VLOOKUP($F14,依據!$B:L,11,FALSE),0)+IFERROR(VLOOKUP($F17,依據!$B:L,11,FALSE),0))</f>
        <v>0.04</v>
      </c>
      <c r="L14" s="277">
        <f>IF($F14="不供餐","",IFERROR(VLOOKUP($F14,依據!$B:M,12,FALSE),0)+IFERROR(VLOOKUP($F17,依據!$B:M,12,FALSE),0))</f>
        <v>0.72800000000000009</v>
      </c>
      <c r="M14" s="277">
        <f>IF($F14="不供餐","",IFERROR(VLOOKUP($F14,依據!$B:N,13,FALSE),0)+IFERROR(VLOOKUP($F17,依據!$B:N,13,FALSE),0))</f>
        <v>0</v>
      </c>
      <c r="N14" s="298">
        <f>IF($F14="不供餐","",IFERROR(VLOOKUP($F14,依據!$B:O,14,FALSE),0)+IFERROR(VLOOKUP($F17,依據!$B:O,14,FALSE),0))</f>
        <v>0</v>
      </c>
      <c r="O14" s="277">
        <f>IF($F14="不供餐","",IFERROR(VLOOKUP($F14,依據!$B:P,15,FALSE),0)+IFERROR(VLOOKUP($F17,依據!$B:P,15,FALSE),0))</f>
        <v>0</v>
      </c>
      <c r="P14" s="277">
        <f>IF($F14="不供餐","",IFERROR(VLOOKUP($F14,依據!$B:Q,16,FALSE),0)+IFERROR(VLOOKUP($F17,依據!$B:Q,16,FALSE),0))</f>
        <v>0</v>
      </c>
      <c r="Q14" s="277">
        <f>IF($F14="不供餐","",IFERROR(VLOOKUP($F14,依據!$B:R,17,FALSE),0)+IFERROR(VLOOKUP($F17,依據!$B:R,17,FALSE),0))</f>
        <v>0.2</v>
      </c>
      <c r="R14" s="301">
        <f>IF($F14="不供餐","",SUM(K14*70+L14*75+M14*120+N14*25+O14*60+P14*45+Q14*4))</f>
        <v>58.2</v>
      </c>
      <c r="S14" s="303" t="str">
        <f>_xlfn.IFS(COUNTIF($F14,"水果拼盤")=1,"水果3種",(COUNTIF($F14,"水果拼盤"))=0,"")</f>
        <v/>
      </c>
      <c r="T14" s="291"/>
      <c r="U14" s="1"/>
    </row>
    <row r="15" spans="1:22" ht="14.25" customHeight="1">
      <c r="A15" s="9"/>
      <c r="B15" s="267"/>
      <c r="C15" s="230"/>
      <c r="D15" s="230"/>
      <c r="E15" s="63">
        <v>2</v>
      </c>
      <c r="F15" s="309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5"/>
      <c r="L15" s="275"/>
      <c r="M15" s="275"/>
      <c r="N15" s="299"/>
      <c r="O15" s="275"/>
      <c r="P15" s="275"/>
      <c r="Q15" s="275"/>
      <c r="R15" s="302"/>
      <c r="S15" s="303"/>
      <c r="T15" s="291"/>
      <c r="U15" s="1"/>
    </row>
    <row r="16" spans="1:22" ht="14.25" customHeight="1">
      <c r="A16" s="9"/>
      <c r="B16" s="267"/>
      <c r="C16" s="230"/>
      <c r="D16" s="230"/>
      <c r="E16" s="63">
        <v>3</v>
      </c>
      <c r="F16" s="310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5"/>
      <c r="L16" s="275"/>
      <c r="M16" s="275"/>
      <c r="N16" s="299"/>
      <c r="O16" s="275"/>
      <c r="P16" s="275"/>
      <c r="Q16" s="275"/>
      <c r="R16" s="302"/>
      <c r="S16" s="303"/>
      <c r="T16" s="291"/>
      <c r="U16" s="1"/>
    </row>
    <row r="17" spans="1:21" ht="14.25" customHeight="1">
      <c r="A17" s="9"/>
      <c r="B17" s="267"/>
      <c r="C17" s="230"/>
      <c r="D17" s="230"/>
      <c r="E17" s="63">
        <v>1</v>
      </c>
      <c r="F17" s="311" t="str">
        <f>IFERROR(IF(FIND("+",總表!$E31)&gt;0,RIGHT(總表!$E31,LEN(總表!$E31)-FIND("+",總表!$E31)),""),0)</f>
        <v>豆漿</v>
      </c>
      <c r="G17" s="21" t="str">
        <f>IFERROR(IF(VLOOKUP($E17&amp;+$F$17,依據!$A:$C,3,FALSE)=0,"",VLOOKUP($E17&amp;+$F$17,依據!$A:$C,3,FALSE)),"")</f>
        <v>豆漿</v>
      </c>
      <c r="H17" s="21" t="str">
        <f>IFERROR(IF(VLOOKUP($E17&amp;+$F$17,依據!$A:$D,4,FALSE)=0,"",(VLOOKUP($E17&amp;+$F$17,依據!$A:$D,4,FALSE))),"")</f>
        <v>2L*2 1L*3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5"/>
      <c r="L17" s="275"/>
      <c r="M17" s="275"/>
      <c r="N17" s="299"/>
      <c r="O17" s="275"/>
      <c r="P17" s="275"/>
      <c r="Q17" s="275"/>
      <c r="R17" s="302"/>
      <c r="S17" s="303"/>
      <c r="T17" s="291"/>
      <c r="U17" s="1"/>
    </row>
    <row r="18" spans="1:21" ht="14.25" customHeight="1">
      <c r="A18" s="9"/>
      <c r="B18" s="267"/>
      <c r="C18" s="230"/>
      <c r="D18" s="230"/>
      <c r="E18" s="63">
        <v>2</v>
      </c>
      <c r="F18" s="312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5"/>
      <c r="L18" s="275"/>
      <c r="M18" s="275"/>
      <c r="N18" s="299"/>
      <c r="O18" s="275"/>
      <c r="P18" s="275"/>
      <c r="Q18" s="275"/>
      <c r="R18" s="302"/>
      <c r="S18" s="303"/>
      <c r="T18" s="291"/>
      <c r="U18" s="1"/>
    </row>
    <row r="19" spans="1:21" ht="14.25" customHeight="1">
      <c r="A19" s="9"/>
      <c r="B19" s="268"/>
      <c r="C19" s="270"/>
      <c r="D19" s="270"/>
      <c r="E19" s="64">
        <v>3</v>
      </c>
      <c r="F19" s="313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6"/>
      <c r="L19" s="276"/>
      <c r="M19" s="276"/>
      <c r="N19" s="300"/>
      <c r="O19" s="276"/>
      <c r="P19" s="276"/>
      <c r="Q19" s="276"/>
      <c r="R19" s="302"/>
      <c r="S19" s="304"/>
      <c r="T19" s="293"/>
      <c r="U19" s="1"/>
    </row>
    <row r="20" spans="1:21" ht="14.25" customHeight="1">
      <c r="A20" s="9"/>
      <c r="B20" s="314">
        <f>DATE(YEAR(B8),MONTH(B8),DAY(B8)+1)</f>
        <v>45286</v>
      </c>
      <c r="C20" s="315" t="s">
        <v>49</v>
      </c>
      <c r="D20" s="315" t="s">
        <v>40</v>
      </c>
      <c r="E20" s="73">
        <v>1</v>
      </c>
      <c r="F20" s="271" t="str">
        <f>LEFT(總表!$D32,IF(F23=0,LEN(總表!$D32)+3,LEN(總表!$D32)-3))</f>
        <v>瘦肉拉麵</v>
      </c>
      <c r="G20" s="21" t="str">
        <f>IFERROR(IF(VLOOKUP($E20&amp;+$F$20,依據!$A:$C,3,FALSE)=0,"",VLOOKUP($E20&amp;+$F$20,依據!$A:$C,3,FALSE)),"")</f>
        <v>拉麵</v>
      </c>
      <c r="H20" s="21">
        <f>IFERROR(IF(VLOOKUP($E20&amp;+$F$20,依據!$A:$D,4,FALSE)=0,"",(VLOOKUP($E20&amp;+$F$20,依據!$A:$D,4,FALSE))),"")</f>
        <v>3</v>
      </c>
      <c r="I20" s="20" t="str">
        <f>IFERROR(IF(VLOOKUP($E20&amp;+$F$20,依據!$A:$E,5,FALSE)=0,"",VLOOKUP($E20&amp;+$F$20,依據!$A:$E,5,FALSE)),"")</f>
        <v>胡蘿蔔</v>
      </c>
      <c r="J20" s="34" t="str">
        <f>IFERROR(IF(VLOOKUP($E20&amp;+$F$20,依據!$A:$F,6,FALSE)=0,"",(VLOOKUP($E20&amp;+$F$20,依據!$A:$F,6,FALSE))),"")</f>
        <v>1根</v>
      </c>
      <c r="K20" s="274">
        <f>IF($F20="不供餐","",IFERROR(VLOOKUP($F20,依據!$B:L,11,FALSE),0)+IFERROR(VLOOKUP($F23,依據!$B:L,11,FALSE),0))</f>
        <v>2.4</v>
      </c>
      <c r="L20" s="277">
        <f>IF($F20="不供餐","",IFERROR(VLOOKUP($F20,依據!$B:M,12,FALSE),0)+IFERROR(VLOOKUP($F23,依據!$B:M,12,FALSE),0))</f>
        <v>0.34285714285714286</v>
      </c>
      <c r="M20" s="277">
        <f>IF($F20="不供餐","",IFERROR(VLOOKUP($F20,依據!$B:N,13,FALSE),0)+IFERROR(VLOOKUP($F23,依據!$B:N,13,FALSE),0))</f>
        <v>0</v>
      </c>
      <c r="N20" s="298">
        <f>IF($F20="不供餐","",IFERROR(VLOOKUP($F20,依據!$B:O,14,FALSE),0)+IFERROR(VLOOKUP($F23,依據!$B:O,14,FALSE),0))</f>
        <v>0.27</v>
      </c>
      <c r="O20" s="277">
        <f>IF($F20="不供餐","",IFERROR(VLOOKUP($F20,依據!$B:P,15,FALSE),0)+IFERROR(VLOOKUP($F23,依據!$B:P,15,FALSE),0))</f>
        <v>1.04</v>
      </c>
      <c r="P20" s="277">
        <f>IF($F20="不供餐","",IFERROR(VLOOKUP($F20,依據!$B:Q,16,FALSE),0)+IFERROR(VLOOKUP($F23,依據!$B:Q,16,FALSE),0))</f>
        <v>0</v>
      </c>
      <c r="Q20" s="277">
        <f>IF($F20="不供餐","",IFERROR(VLOOKUP($F20,依據!$B:R,17,FALSE),0)+IFERROR(VLOOKUP($F23,依據!$B:R,17,FALSE),0))</f>
        <v>0</v>
      </c>
      <c r="R20" s="301">
        <f>IF($F20="不供餐","",SUM(K20*70+L20*75+M20*120+N20*25+O20*60+P20*45+Q20*4))</f>
        <v>262.86428571428576</v>
      </c>
      <c r="S20" s="303" t="str">
        <f>_xlfn.IFS(COUNTIF($F23,"水果")=1,"水果1種",(COUNTIF($F23,"水果"))=0,"")</f>
        <v>水果1種</v>
      </c>
      <c r="T20" s="291"/>
      <c r="U20" s="1"/>
    </row>
    <row r="21" spans="1:21" ht="14.25" customHeight="1">
      <c r="A21" s="9"/>
      <c r="B21" s="267"/>
      <c r="C21" s="230"/>
      <c r="D21" s="230"/>
      <c r="E21" s="63">
        <v>2</v>
      </c>
      <c r="F21" s="272"/>
      <c r="G21" s="22" t="str">
        <f>IFERROR(IF(VLOOKUP($E21&amp;+$F$20,依據!$A:$C,3,FALSE)=0,"",VLOOKUP($E21&amp;+$F$20,依據!$A:$C,3,FALSE)),"")</f>
        <v>豬肉片</v>
      </c>
      <c r="H21" s="22">
        <f>IFERROR(IF(VLOOKUP($E21&amp;+$F$20,依據!$A:$D,4,FALSE)=0,"",(VLOOKUP($E21&amp;+$F$20,依據!$A:$D,4,FALSE))),"")</f>
        <v>0.6</v>
      </c>
      <c r="I21" s="23" t="str">
        <f>IFERROR(IF(VLOOKUP($E21&amp;+$F$20,依據!$A:$E,5,FALSE)=0,"",VLOOKUP($E21&amp;+$F$20,依據!$A:$E,5,FALSE)),"")</f>
        <v>青蔥</v>
      </c>
      <c r="J21" s="36">
        <f>IFERROR(IF(VLOOKUP($E21&amp;+$F$20,依據!$A:$F,6,FALSE)=0,"",(VLOOKUP($E21&amp;+$F$20,依據!$A:$F,6,FALSE))),"")</f>
        <v>0.1</v>
      </c>
      <c r="K21" s="275"/>
      <c r="L21" s="275"/>
      <c r="M21" s="275"/>
      <c r="N21" s="299"/>
      <c r="O21" s="275"/>
      <c r="P21" s="275"/>
      <c r="Q21" s="275"/>
      <c r="R21" s="302"/>
      <c r="S21" s="303"/>
      <c r="T21" s="291"/>
      <c r="U21" s="1"/>
    </row>
    <row r="22" spans="1:21" ht="14.25" customHeight="1">
      <c r="A22" s="9"/>
      <c r="B22" s="267"/>
      <c r="C22" s="230"/>
      <c r="D22" s="230"/>
      <c r="E22" s="63">
        <v>3</v>
      </c>
      <c r="F22" s="273"/>
      <c r="G22" s="24" t="str">
        <f>IFERROR(IF(VLOOKUP($E22&amp;+$F$20,依據!$A:$C,3,FALSE)=0,"",VLOOKUP($E22&amp;+$F$20,依據!$A:$C,3,FALSE)),"")</f>
        <v>青江菜</v>
      </c>
      <c r="H22" s="24">
        <f>IFERROR(IF(VLOOKUP($E22&amp;+$F$20,依據!$A:$D,4,FALSE)=0,"",(VLOOKUP($E22&amp;+$F$20,依據!$A:$D,4,FALSE))),"")</f>
        <v>0.6</v>
      </c>
      <c r="I22" s="25" t="str">
        <f>IFERROR(IF(VLOOKUP($E22&amp;+$F$20,依據!$A:$E,5,FALSE)=0,"",VLOOKUP($E22&amp;+$F$20,依據!$A:$E,5,FALSE)),"")</f>
        <v>豆芽菜</v>
      </c>
      <c r="J22" s="37">
        <f>IFERROR(IF(VLOOKUP($E22&amp;+$F$20,依據!$A:$F,6,FALSE)=0,"",(VLOOKUP($E22&amp;+$F$20,依據!$A:$F,6,FALSE))),"")</f>
        <v>0.5</v>
      </c>
      <c r="K22" s="275"/>
      <c r="L22" s="275"/>
      <c r="M22" s="275"/>
      <c r="N22" s="299"/>
      <c r="O22" s="275"/>
      <c r="P22" s="275"/>
      <c r="Q22" s="275"/>
      <c r="R22" s="302"/>
      <c r="S22" s="303"/>
      <c r="T22" s="291"/>
      <c r="U22" s="1"/>
    </row>
    <row r="23" spans="1:21" ht="14.25" customHeight="1">
      <c r="A23" s="43"/>
      <c r="B23" s="267"/>
      <c r="C23" s="230"/>
      <c r="D23" s="230"/>
      <c r="E23" s="63">
        <v>1</v>
      </c>
      <c r="F23" s="316" t="str">
        <f>IFERROR(IF(FIND("+水果",總表!$D32)&gt;0,"水果",""),0)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1249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5"/>
      <c r="L23" s="275"/>
      <c r="M23" s="275"/>
      <c r="N23" s="299"/>
      <c r="O23" s="275"/>
      <c r="P23" s="275"/>
      <c r="Q23" s="275"/>
      <c r="R23" s="302"/>
      <c r="S23" s="303"/>
      <c r="T23" s="291"/>
      <c r="U23" s="1"/>
    </row>
    <row r="24" spans="1:21" ht="14.25" customHeight="1">
      <c r="A24" s="44"/>
      <c r="B24" s="267"/>
      <c r="C24" s="230"/>
      <c r="D24" s="230"/>
      <c r="E24" s="63">
        <v>2</v>
      </c>
      <c r="F24" s="306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5"/>
      <c r="L24" s="275"/>
      <c r="M24" s="275"/>
      <c r="N24" s="299"/>
      <c r="O24" s="275"/>
      <c r="P24" s="275"/>
      <c r="Q24" s="275"/>
      <c r="R24" s="302"/>
      <c r="S24" s="303"/>
      <c r="T24" s="291"/>
      <c r="U24" s="1"/>
    </row>
    <row r="25" spans="1:21" ht="14.25" customHeight="1">
      <c r="A25" s="44"/>
      <c r="B25" s="267"/>
      <c r="C25" s="230"/>
      <c r="D25" s="270"/>
      <c r="E25" s="64">
        <v>3</v>
      </c>
      <c r="F25" s="307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6"/>
      <c r="L25" s="276"/>
      <c r="M25" s="276"/>
      <c r="N25" s="300"/>
      <c r="O25" s="276"/>
      <c r="P25" s="276"/>
      <c r="Q25" s="276"/>
      <c r="R25" s="302"/>
      <c r="S25" s="304"/>
      <c r="T25" s="293"/>
      <c r="U25" s="1"/>
    </row>
    <row r="26" spans="1:21" ht="14.25" customHeight="1">
      <c r="A26" s="9"/>
      <c r="B26" s="267"/>
      <c r="C26" s="230"/>
      <c r="D26" s="230" t="s">
        <v>41</v>
      </c>
      <c r="E26" s="73">
        <v>1</v>
      </c>
      <c r="F26" s="332" t="str">
        <f>IFERROR(LEFT(總表!$E32,FIND("+",總表!$E32)-1),總表!$E32)</f>
        <v>薑汁地瓜甜湯</v>
      </c>
      <c r="G26" s="21" t="s">
        <v>1256</v>
      </c>
      <c r="H26" s="21">
        <v>4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74">
        <v>1.2</v>
      </c>
      <c r="L26" s="277">
        <v>0</v>
      </c>
      <c r="M26" s="277">
        <v>0</v>
      </c>
      <c r="N26" s="298">
        <v>0.1</v>
      </c>
      <c r="O26" s="277">
        <v>0</v>
      </c>
      <c r="P26" s="277">
        <v>0</v>
      </c>
      <c r="Q26" s="277">
        <v>20</v>
      </c>
      <c r="R26" s="301">
        <f>IF($F26="不供餐","",SUM(K26*70+L26*75+M26*120+N26*25+O26*60+P26*45+Q26*4))</f>
        <v>166.5</v>
      </c>
      <c r="S26" s="303" t="str">
        <f>_xlfn.IFS(COUNTIF($F26,"水果拼盤")=1,"水果3種",(COUNTIF($F26,"水果拼盤"))=0,"")</f>
        <v/>
      </c>
      <c r="T26" s="291"/>
      <c r="U26" s="1"/>
    </row>
    <row r="27" spans="1:21" ht="14.25" customHeight="1">
      <c r="A27" s="9"/>
      <c r="B27" s="267"/>
      <c r="C27" s="230"/>
      <c r="D27" s="230"/>
      <c r="E27" s="63">
        <v>2</v>
      </c>
      <c r="F27" s="333"/>
      <c r="G27" s="22" t="s">
        <v>1257</v>
      </c>
      <c r="H27" s="22">
        <v>0.2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5"/>
      <c r="L27" s="275"/>
      <c r="M27" s="275"/>
      <c r="N27" s="299"/>
      <c r="O27" s="275"/>
      <c r="P27" s="275"/>
      <c r="Q27" s="275"/>
      <c r="R27" s="302"/>
      <c r="S27" s="303"/>
      <c r="T27" s="291"/>
      <c r="U27" s="1"/>
    </row>
    <row r="28" spans="1:21" ht="14.25" customHeight="1">
      <c r="A28" s="9"/>
      <c r="B28" s="267"/>
      <c r="C28" s="230"/>
      <c r="D28" s="230"/>
      <c r="E28" s="63">
        <v>3</v>
      </c>
      <c r="F28" s="334"/>
      <c r="G28" s="24" t="s">
        <v>1258</v>
      </c>
      <c r="H28" s="24">
        <v>0.6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5"/>
      <c r="L28" s="275"/>
      <c r="M28" s="275"/>
      <c r="N28" s="299"/>
      <c r="O28" s="275"/>
      <c r="P28" s="275"/>
      <c r="Q28" s="275"/>
      <c r="R28" s="302"/>
      <c r="S28" s="303"/>
      <c r="T28" s="291"/>
      <c r="U28" s="1"/>
    </row>
    <row r="29" spans="1:21" ht="14.25" customHeight="1">
      <c r="A29" s="9"/>
      <c r="B29" s="267"/>
      <c r="C29" s="230"/>
      <c r="D29" s="230"/>
      <c r="E29" s="63">
        <v>1</v>
      </c>
      <c r="F29" s="311">
        <f>IFERROR(IF(FIND("+",總表!$E32)&gt;0,RIGHT(總表!$E32,LEN(總表!$E32)-FIND("+",總表!$E32)),""),0)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5"/>
      <c r="L29" s="275"/>
      <c r="M29" s="275"/>
      <c r="N29" s="299"/>
      <c r="O29" s="275"/>
      <c r="P29" s="275"/>
      <c r="Q29" s="275"/>
      <c r="R29" s="302"/>
      <c r="S29" s="303"/>
      <c r="T29" s="291"/>
      <c r="U29" s="1"/>
    </row>
    <row r="30" spans="1:21" ht="14.25" customHeight="1">
      <c r="A30" s="9"/>
      <c r="B30" s="267"/>
      <c r="C30" s="230"/>
      <c r="D30" s="230"/>
      <c r="E30" s="63">
        <v>2</v>
      </c>
      <c r="F30" s="312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5"/>
      <c r="L30" s="275"/>
      <c r="M30" s="275"/>
      <c r="N30" s="299"/>
      <c r="O30" s="275"/>
      <c r="P30" s="275"/>
      <c r="Q30" s="275"/>
      <c r="R30" s="302"/>
      <c r="S30" s="303"/>
      <c r="T30" s="291"/>
      <c r="U30" s="1"/>
    </row>
    <row r="31" spans="1:21" ht="14.25" customHeight="1">
      <c r="A31" s="9"/>
      <c r="B31" s="268"/>
      <c r="C31" s="270"/>
      <c r="D31" s="270"/>
      <c r="E31" s="64">
        <v>3</v>
      </c>
      <c r="F31" s="313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6"/>
      <c r="L31" s="276"/>
      <c r="M31" s="276"/>
      <c r="N31" s="300"/>
      <c r="O31" s="276"/>
      <c r="P31" s="276"/>
      <c r="Q31" s="276"/>
      <c r="R31" s="302"/>
      <c r="S31" s="304"/>
      <c r="T31" s="293"/>
      <c r="U31" s="1"/>
    </row>
    <row r="32" spans="1:21" ht="14.25" customHeight="1">
      <c r="A32" s="9"/>
      <c r="B32" s="314">
        <f t="shared" ref="B32" si="0">DATE(YEAR(B20),MONTH(B20),DAY(B20)+1)</f>
        <v>45287</v>
      </c>
      <c r="C32" s="315" t="s">
        <v>50</v>
      </c>
      <c r="D32" s="315" t="s">
        <v>40</v>
      </c>
      <c r="E32" s="73">
        <v>1</v>
      </c>
      <c r="F32" s="271" t="str">
        <f>LEFT(總表!$D33,IF(F35=0,LEN(總表!$D33)+3,LEN(總表!$D33)-3))</f>
        <v>枸杞雞湯麵線</v>
      </c>
      <c r="G32" s="21" t="str">
        <f>IFERROR(IF(VLOOKUP($E32&amp;+$F$32,依據!$A:$C,3,FALSE)=0,"",VLOOKUP($E32&amp;+$F$32,依據!$A:$C,3,FALSE)),"")</f>
        <v>白麵線</v>
      </c>
      <c r="H32" s="21">
        <f>IFERROR(IF(VLOOKUP($E32&amp;+$F$32,依據!$A:$D,4,FALSE)=0,"",(VLOOKUP($E32&amp;+$F$32,依據!$A:$D,4,FALSE))),"")</f>
        <v>2</v>
      </c>
      <c r="I32" s="20" t="str">
        <f>IFERROR(IF(VLOOKUP($E32&amp;+$F$32,依據!$A:$E,5,FALSE)=0,"",VLOOKUP($E32&amp;+$F$32,依據!$A:$E,5,FALSE)),"")</f>
        <v>薑片</v>
      </c>
      <c r="J32" s="34">
        <f>IFERROR(IF(VLOOKUP($E32&amp;+$F$32,依據!$A:$F,6,FALSE)=0,"",(VLOOKUP($E32&amp;+$F$32,依據!$A:$F,6,FALSE))),"")</f>
        <v>0.1</v>
      </c>
      <c r="K32" s="274">
        <v>1.2</v>
      </c>
      <c r="L32" s="277">
        <v>0.8</v>
      </c>
      <c r="M32" s="277">
        <v>0</v>
      </c>
      <c r="N32" s="298">
        <v>0.1</v>
      </c>
      <c r="O32" s="277">
        <v>0</v>
      </c>
      <c r="P32" s="277">
        <v>1</v>
      </c>
      <c r="Q32" s="277">
        <v>0</v>
      </c>
      <c r="R32" s="301">
        <f>IF($F32="不供餐","",SUM(K32*70+L32*75+M32*120+N32*25+O32*60+P32*45+Q32*4))</f>
        <v>191.5</v>
      </c>
      <c r="S32" s="303" t="str">
        <f>_xlfn.IFS(COUNTIF($F35,"水果")=1,"水果1種",(COUNTIF($F35,"水果"))=0,"")</f>
        <v/>
      </c>
      <c r="T32" s="291"/>
      <c r="U32" s="1"/>
    </row>
    <row r="33" spans="1:21" ht="14.25" customHeight="1">
      <c r="A33" s="9"/>
      <c r="B33" s="267"/>
      <c r="C33" s="230"/>
      <c r="D33" s="230"/>
      <c r="E33" s="63">
        <v>2</v>
      </c>
      <c r="F33" s="272"/>
      <c r="G33" s="22" t="str">
        <f>IFERROR(IF(VLOOKUP($E33&amp;+$F$32,依據!$A:$C,3,FALSE)=0,"",VLOOKUP($E33&amp;+$F$32,依據!$A:$C,3,FALSE)),"")</f>
        <v>雞腿仁丁</v>
      </c>
      <c r="H33" s="22">
        <f>IFERROR(IF(VLOOKUP($E33&amp;+$F$32,依據!$A:$D,4,FALSE)=0,"",(VLOOKUP($E33&amp;+$F$32,依據!$A:$D,4,FALSE))),"")</f>
        <v>2</v>
      </c>
      <c r="I33" s="23" t="str">
        <f>IFERROR(IF(VLOOKUP($E33&amp;+$F$32,依據!$A:$E,5,FALSE)=0,"",VLOOKUP($E33&amp;+$F$32,依據!$A:$E,5,FALSE)),"")</f>
        <v>脆筍片</v>
      </c>
      <c r="J33" s="36">
        <f>IFERROR(IF(VLOOKUP($E33&amp;+$F$32,依據!$A:$F,6,FALSE)=0,"",(VLOOKUP($E33&amp;+$F$32,依據!$A:$F,6,FALSE))),"")</f>
        <v>0.3</v>
      </c>
      <c r="K33" s="275"/>
      <c r="L33" s="275"/>
      <c r="M33" s="275"/>
      <c r="N33" s="299"/>
      <c r="O33" s="275"/>
      <c r="P33" s="275"/>
      <c r="Q33" s="275"/>
      <c r="R33" s="302"/>
      <c r="S33" s="303"/>
      <c r="T33" s="291"/>
      <c r="U33" s="1"/>
    </row>
    <row r="34" spans="1:21" ht="14.25" customHeight="1">
      <c r="A34" s="9"/>
      <c r="B34" s="267"/>
      <c r="C34" s="230"/>
      <c r="D34" s="230"/>
      <c r="E34" s="63">
        <v>3</v>
      </c>
      <c r="F34" s="273"/>
      <c r="G34" s="24" t="str">
        <f>IFERROR(IF(VLOOKUP($E34&amp;+$F$32,依據!$A:$C,3,FALSE)=0,"",VLOOKUP($E34&amp;+$F$32,依據!$A:$C,3,FALSE)),"")</f>
        <v>枸杞</v>
      </c>
      <c r="H34" s="24">
        <f>IFERROR(IF(VLOOKUP($E34&amp;+$F$32,依據!$A:$D,4,FALSE)=0,"",(VLOOKUP($E34&amp;+$F$32,依據!$A:$D,4,FALSE))),"")</f>
        <v>0.1</v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5"/>
      <c r="L34" s="275"/>
      <c r="M34" s="275"/>
      <c r="N34" s="299"/>
      <c r="O34" s="275"/>
      <c r="P34" s="275"/>
      <c r="Q34" s="275"/>
      <c r="R34" s="302"/>
      <c r="S34" s="303"/>
      <c r="T34" s="291"/>
      <c r="U34" s="1"/>
    </row>
    <row r="35" spans="1:21" ht="14.25" customHeight="1">
      <c r="A35" s="9"/>
      <c r="B35" s="267"/>
      <c r="C35" s="230"/>
      <c r="D35" s="230"/>
      <c r="E35" s="63">
        <v>1</v>
      </c>
      <c r="F35" s="316">
        <f>IFERROR(IF(FIND("+水果",總表!$D33)&gt;0,"水果",""),0)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5"/>
      <c r="L35" s="275"/>
      <c r="M35" s="275"/>
      <c r="N35" s="299"/>
      <c r="O35" s="275"/>
      <c r="P35" s="275"/>
      <c r="Q35" s="275"/>
      <c r="R35" s="302"/>
      <c r="S35" s="303"/>
      <c r="T35" s="291"/>
      <c r="U35" s="1"/>
    </row>
    <row r="36" spans="1:21" ht="14.25" customHeight="1">
      <c r="A36" s="9"/>
      <c r="B36" s="267"/>
      <c r="C36" s="230"/>
      <c r="D36" s="230"/>
      <c r="E36" s="63">
        <v>2</v>
      </c>
      <c r="F36" s="306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5"/>
      <c r="L36" s="275"/>
      <c r="M36" s="275"/>
      <c r="N36" s="299"/>
      <c r="O36" s="275"/>
      <c r="P36" s="275"/>
      <c r="Q36" s="275"/>
      <c r="R36" s="302"/>
      <c r="S36" s="303"/>
      <c r="T36" s="291"/>
      <c r="U36" s="1"/>
    </row>
    <row r="37" spans="1:21" ht="14.25" customHeight="1">
      <c r="A37" s="9"/>
      <c r="B37" s="267"/>
      <c r="C37" s="230"/>
      <c r="D37" s="270"/>
      <c r="E37" s="64">
        <v>3</v>
      </c>
      <c r="F37" s="307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6"/>
      <c r="L37" s="276"/>
      <c r="M37" s="276"/>
      <c r="N37" s="300"/>
      <c r="O37" s="276"/>
      <c r="P37" s="276"/>
      <c r="Q37" s="276"/>
      <c r="R37" s="302"/>
      <c r="S37" s="304"/>
      <c r="T37" s="293"/>
      <c r="U37" s="1"/>
    </row>
    <row r="38" spans="1:21" ht="14.25" customHeight="1">
      <c r="A38" s="9"/>
      <c r="B38" s="267"/>
      <c r="C38" s="230"/>
      <c r="D38" s="230" t="s">
        <v>41</v>
      </c>
      <c r="E38" s="73">
        <v>1</v>
      </c>
      <c r="F38" s="332" t="str">
        <f>IFERROR(LEFT(總表!$E33,FIND("+",總表!$E33)-1),總表!$E33)</f>
        <v>茶葉蛋</v>
      </c>
      <c r="G38" s="21" t="str">
        <f>IFERROR(IF(VLOOKUP($E38&amp;+$F$38,依據!$A:$C,3,FALSE)=0,"",VLOOKUP($E38&amp;+$F$38,依據!$A:$C,3,FALSE)),"")</f>
        <v>雞蛋</v>
      </c>
      <c r="H38" s="21" t="s">
        <v>1250</v>
      </c>
      <c r="I38" s="20" t="str">
        <f>IFERROR(IF(VLOOKUP($E38&amp;+$F$38,依據!$A:$E,5,FALSE)=0,"",VLOOKUP($E38&amp;+$F$38,依據!$A:$E,5,FALSE)),"")</f>
        <v>提前一天送達</v>
      </c>
      <c r="J38" s="34" t="str">
        <f>IFERROR(IF(VLOOKUP($E38&amp;+$F$38,依據!$A:$F,6,FALSE)=0,"",(VLOOKUP($E38&amp;+$F$38,依據!$A:$F,6,FALSE))),"")</f>
        <v/>
      </c>
      <c r="K38" s="274">
        <v>1.3</v>
      </c>
      <c r="L38" s="277">
        <v>0</v>
      </c>
      <c r="M38" s="277">
        <v>0</v>
      </c>
      <c r="N38" s="298">
        <v>0</v>
      </c>
      <c r="O38" s="277">
        <v>0</v>
      </c>
      <c r="P38" s="277">
        <v>1</v>
      </c>
      <c r="Q38" s="277">
        <v>20</v>
      </c>
      <c r="R38" s="301">
        <f>IF($F38="不供餐","",SUM(K38*70+L38*75+M38*120+N38*25+O38*60+P38*45+Q38*4))</f>
        <v>216</v>
      </c>
      <c r="S38" s="303"/>
      <c r="T38" s="291"/>
      <c r="U38" s="1"/>
    </row>
    <row r="39" spans="1:21" ht="14.25" customHeight="1">
      <c r="A39" s="9"/>
      <c r="B39" s="267"/>
      <c r="C39" s="230"/>
      <c r="D39" s="230"/>
      <c r="E39" s="63">
        <v>2</v>
      </c>
      <c r="F39" s="333"/>
      <c r="G39" s="22" t="str">
        <f>IFERROR(IF(VLOOKUP($E39&amp;+$F$38,依據!$A:$C,3,FALSE)=0,"",VLOOKUP($E39&amp;+$F$38,依據!$A:$C,3,FALSE)),"")</f>
        <v>茶葉蛋滷包</v>
      </c>
      <c r="H39" s="22" t="str">
        <f>IFERROR(IF(VLOOKUP($E39&amp;+$F$38,依據!$A:$D,4,FALSE)=0,"",(VLOOKUP($E39&amp;+$F$38,依據!$A:$D,4,FALSE))),"")</f>
        <v>1小包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5"/>
      <c r="L39" s="275"/>
      <c r="M39" s="275"/>
      <c r="N39" s="299"/>
      <c r="O39" s="275"/>
      <c r="P39" s="275"/>
      <c r="Q39" s="275"/>
      <c r="R39" s="302"/>
      <c r="S39" s="303"/>
      <c r="T39" s="291"/>
      <c r="U39" s="1"/>
    </row>
    <row r="40" spans="1:21" ht="14.25" customHeight="1">
      <c r="A40" s="9"/>
      <c r="B40" s="267"/>
      <c r="C40" s="230"/>
      <c r="D40" s="230"/>
      <c r="E40" s="63">
        <v>3</v>
      </c>
      <c r="F40" s="334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5"/>
      <c r="L40" s="275"/>
      <c r="M40" s="275"/>
      <c r="N40" s="299"/>
      <c r="O40" s="275"/>
      <c r="P40" s="275"/>
      <c r="Q40" s="275"/>
      <c r="R40" s="302"/>
      <c r="S40" s="303"/>
      <c r="T40" s="291"/>
      <c r="U40" s="1"/>
    </row>
    <row r="41" spans="1:21" ht="14.25" customHeight="1">
      <c r="A41" s="9"/>
      <c r="B41" s="267"/>
      <c r="C41" s="230"/>
      <c r="D41" s="230"/>
      <c r="E41" s="63">
        <v>1</v>
      </c>
      <c r="F41" s="311" t="str">
        <f>IFERROR(IF(FIND("+",總表!$E33)&gt;0,RIGHT(總表!$E33,LEN(總表!$E33)-FIND("+",總表!$E33)),""),0)</f>
        <v>羅漢果茶</v>
      </c>
      <c r="G41" s="21" t="str">
        <f>IFERROR(IF(VLOOKUP($E41&amp;+$F$41,依據!$A:$C,3,FALSE)=0,"",VLOOKUP($E41&amp;+$F$41,依據!$A:$C,3,FALSE)),"")</f>
        <v>羅漢果茶</v>
      </c>
      <c r="H41" s="21" t="str">
        <f>IFERROR(IF(VLOOKUP($E41&amp;+$F$41,依據!$A:$D,4,FALSE)=0,"",(VLOOKUP($E41&amp;+$F$41,依據!$A:$D,4,FALSE))),"")</f>
        <v>2顆</v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5"/>
      <c r="L41" s="275"/>
      <c r="M41" s="275"/>
      <c r="N41" s="299"/>
      <c r="O41" s="275"/>
      <c r="P41" s="275"/>
      <c r="Q41" s="275"/>
      <c r="R41" s="302"/>
      <c r="S41" s="303"/>
      <c r="T41" s="291"/>
      <c r="U41" s="1"/>
    </row>
    <row r="42" spans="1:21" ht="14.25" customHeight="1">
      <c r="A42" s="9"/>
      <c r="B42" s="267"/>
      <c r="C42" s="230"/>
      <c r="D42" s="230"/>
      <c r="E42" s="63">
        <v>2</v>
      </c>
      <c r="F42" s="312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5"/>
      <c r="L42" s="275"/>
      <c r="M42" s="275"/>
      <c r="N42" s="299"/>
      <c r="O42" s="275"/>
      <c r="P42" s="275"/>
      <c r="Q42" s="275"/>
      <c r="R42" s="302"/>
      <c r="S42" s="303"/>
      <c r="T42" s="291"/>
      <c r="U42" s="1"/>
    </row>
    <row r="43" spans="1:21" ht="14.25" customHeight="1">
      <c r="A43" s="9"/>
      <c r="B43" s="268"/>
      <c r="C43" s="270"/>
      <c r="D43" s="270"/>
      <c r="E43" s="64">
        <v>3</v>
      </c>
      <c r="F43" s="313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6"/>
      <c r="L43" s="276"/>
      <c r="M43" s="276"/>
      <c r="N43" s="300"/>
      <c r="O43" s="276"/>
      <c r="P43" s="276"/>
      <c r="Q43" s="276"/>
      <c r="R43" s="302"/>
      <c r="S43" s="304"/>
      <c r="T43" s="293"/>
      <c r="U43" s="1"/>
    </row>
    <row r="44" spans="1:21" ht="14.25" customHeight="1">
      <c r="A44" s="9"/>
      <c r="B44" s="314">
        <f t="shared" ref="B44:B56" si="1">DATE(YEAR(B32),MONTH(B32),DAY(B32)+1)</f>
        <v>45288</v>
      </c>
      <c r="C44" s="315" t="s">
        <v>9</v>
      </c>
      <c r="D44" s="315" t="s">
        <v>40</v>
      </c>
      <c r="E44" s="73">
        <v>1</v>
      </c>
      <c r="F44" s="271" t="str">
        <f>LEFT(總表!$D34,IF(F47=0,LEN(總表!$D34)+3,LEN(總表!$D34)-3))</f>
        <v>香菇肉粥</v>
      </c>
      <c r="G44" s="21" t="str">
        <f>IFERROR(IF(VLOOKUP($E44&amp;+$F$44,依據!$A:$C,3,FALSE)=0,"",VLOOKUP($E44&amp;+$F$44,依據!$A:$C,3,FALSE)),"")</f>
        <v>生香菇</v>
      </c>
      <c r="H44" s="21">
        <f>IFERROR(IF(VLOOKUP($E44&amp;+$F$44,依據!$A:$D,4,FALSE)=0,"",(VLOOKUP($E44&amp;+$F$44,依據!$A:$D,4,FALSE))),"")</f>
        <v>0.8</v>
      </c>
      <c r="I44" s="20" t="str">
        <f>IFERROR(IF(VLOOKUP($E44&amp;+$F$44,依據!$A:$E,5,FALSE)=0,"",VLOOKUP($E44&amp;+$F$44,依據!$A:$E,5,FALSE)),"")</f>
        <v>豬絞肉</v>
      </c>
      <c r="J44" s="34">
        <f>IFERROR(IF(VLOOKUP($E44&amp;+$F$44,依據!$A:$F,6,FALSE)=0,"",(VLOOKUP($E44&amp;+$F$44,依據!$A:$F,6,FALSE))),"")</f>
        <v>0.6</v>
      </c>
      <c r="K44" s="274">
        <f>IF($F44="不供餐","",IFERROR(VLOOKUP($F44,依據!$B:L,11,FALSE),0)+IFERROR(VLOOKUP($F47,依據!$B:L,11,FALSE),0))</f>
        <v>1.2</v>
      </c>
      <c r="L44" s="277">
        <f>IF($F44="不供餐","",IFERROR(VLOOKUP($F44,依據!$B:M,12,FALSE),0)+IFERROR(VLOOKUP($F47,依據!$B:M,12,FALSE),0))</f>
        <v>0.34285714285714286</v>
      </c>
      <c r="M44" s="277">
        <f>IF($F44="不供餐","",IFERROR(VLOOKUP($F44,依據!$B:N,13,FALSE),0)+IFERROR(VLOOKUP($F47,依據!$B:N,13,FALSE),0))</f>
        <v>0</v>
      </c>
      <c r="N44" s="298">
        <f>IF($F44="不供餐","",IFERROR(VLOOKUP($F44,依據!$B:O,14,FALSE),0)+IFERROR(VLOOKUP($F47,依據!$B:O,14,FALSE),0))</f>
        <v>0.2</v>
      </c>
      <c r="O44" s="277">
        <f>IF($F44="不供餐","",IFERROR(VLOOKUP($F44,依據!$B:P,15,FALSE),0)+IFERROR(VLOOKUP($F47,依據!$B:P,15,FALSE),0))</f>
        <v>1.04</v>
      </c>
      <c r="P44" s="277">
        <f>IF($F44="不供餐","",IFERROR(VLOOKUP($F44,依據!$B:Q,16,FALSE),0)+IFERROR(VLOOKUP($F47,依據!$B:Q,16,FALSE),0))</f>
        <v>0</v>
      </c>
      <c r="Q44" s="277">
        <f>IF($F44="不供餐","",IFERROR(VLOOKUP($F44,依據!$B:R,17,FALSE),0)+IFERROR(VLOOKUP($F47,依據!$B:R,17,FALSE),0))</f>
        <v>0</v>
      </c>
      <c r="R44" s="301">
        <f>IF($F44="不供餐","",SUM(K44*70+L44*75+M44*120+N44*25+O44*60+P44*45+Q44*4))</f>
        <v>177.11428571428573</v>
      </c>
      <c r="S44" s="303" t="str">
        <f>_xlfn.IFS(COUNTIF($F47,"水果")=1,"水果1種",(COUNTIF($F47,"水果"))=0,"")</f>
        <v>水果1種</v>
      </c>
      <c r="T44" s="291"/>
      <c r="U44" s="1"/>
    </row>
    <row r="45" spans="1:21" ht="14.25" customHeight="1">
      <c r="A45" s="9"/>
      <c r="B45" s="267"/>
      <c r="C45" s="230"/>
      <c r="D45" s="230"/>
      <c r="E45" s="63">
        <v>2</v>
      </c>
      <c r="F45" s="272"/>
      <c r="G45" s="22" t="str">
        <f>IFERROR(IF(VLOOKUP($E45&amp;+$F$44,依據!$A:$C,3,FALSE)=0,"",VLOOKUP($E45&amp;+$F$44,依據!$A:$C,3,FALSE)),"")</f>
        <v>大白菜</v>
      </c>
      <c r="H45" s="22">
        <f>IFERROR(IF(VLOOKUP($E45&amp;+$F$44,依據!$A:$D,4,FALSE)=0,"",(VLOOKUP($E45&amp;+$F$44,依據!$A:$D,4,FALSE))),"")</f>
        <v>1</v>
      </c>
      <c r="I45" s="23" t="str">
        <f>IFERROR(IF(VLOOKUP($E45&amp;+$F$44,依據!$A:$E,5,FALSE)=0,"",VLOOKUP($E45&amp;+$F$44,依據!$A:$E,5,FALSE)),"")</f>
        <v>白米</v>
      </c>
      <c r="J45" s="36">
        <f>IFERROR(IF(VLOOKUP($E45&amp;+$F$44,依據!$A:$F,6,FALSE)=0,"",(VLOOKUP($E45&amp;+$F$44,依據!$A:$F,6,FALSE))),"")</f>
        <v>1.2</v>
      </c>
      <c r="K45" s="275"/>
      <c r="L45" s="275"/>
      <c r="M45" s="275"/>
      <c r="N45" s="299"/>
      <c r="O45" s="275"/>
      <c r="P45" s="275"/>
      <c r="Q45" s="275"/>
      <c r="R45" s="302"/>
      <c r="S45" s="303"/>
      <c r="T45" s="291"/>
      <c r="U45" s="1"/>
    </row>
    <row r="46" spans="1:21" ht="14.25" customHeight="1">
      <c r="A46" s="9"/>
      <c r="B46" s="267"/>
      <c r="C46" s="230"/>
      <c r="D46" s="230"/>
      <c r="E46" s="63">
        <v>3</v>
      </c>
      <c r="F46" s="273"/>
      <c r="G46" s="24" t="str">
        <f>IFERROR(IF(VLOOKUP($E46&amp;+$F$44,依據!$A:$C,3,FALSE)=0,"",VLOOKUP($E46&amp;+$F$44,依據!$A:$C,3,FALSE)),"")</f>
        <v>紅蘿蔔</v>
      </c>
      <c r="H46" s="24">
        <f>IFERROR(IF(VLOOKUP($E46&amp;+$F$44,依據!$A:$D,4,FALSE)=0,"",(VLOOKUP($E46&amp;+$F$44,依據!$A:$D,4,FALSE))),"")</f>
        <v>0.2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5"/>
      <c r="L46" s="275"/>
      <c r="M46" s="275"/>
      <c r="N46" s="299"/>
      <c r="O46" s="275"/>
      <c r="P46" s="275"/>
      <c r="Q46" s="275"/>
      <c r="R46" s="302"/>
      <c r="S46" s="303"/>
      <c r="T46" s="291"/>
      <c r="U46" s="1"/>
    </row>
    <row r="47" spans="1:21" ht="14.25" customHeight="1">
      <c r="A47" s="9"/>
      <c r="B47" s="267"/>
      <c r="C47" s="230"/>
      <c r="D47" s="230"/>
      <c r="E47" s="63">
        <v>1</v>
      </c>
      <c r="F47" s="316" t="str">
        <f>IFERROR(IF(FIND("+水果",總表!$D34)&gt;0,"水果",""),0)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1249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5"/>
      <c r="L47" s="275"/>
      <c r="M47" s="275"/>
      <c r="N47" s="299"/>
      <c r="O47" s="275"/>
      <c r="P47" s="275"/>
      <c r="Q47" s="275"/>
      <c r="R47" s="302"/>
      <c r="S47" s="303"/>
      <c r="T47" s="291"/>
      <c r="U47" s="1"/>
    </row>
    <row r="48" spans="1:21" ht="14.25" customHeight="1">
      <c r="A48" s="9"/>
      <c r="B48" s="267"/>
      <c r="C48" s="230"/>
      <c r="D48" s="230"/>
      <c r="E48" s="63">
        <v>2</v>
      </c>
      <c r="F48" s="306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5"/>
      <c r="L48" s="275"/>
      <c r="M48" s="275"/>
      <c r="N48" s="299"/>
      <c r="O48" s="275"/>
      <c r="P48" s="275"/>
      <c r="Q48" s="275"/>
      <c r="R48" s="302"/>
      <c r="S48" s="303"/>
      <c r="T48" s="291"/>
      <c r="U48" s="1"/>
    </row>
    <row r="49" spans="1:21" ht="14.25" customHeight="1">
      <c r="A49" s="9"/>
      <c r="B49" s="267"/>
      <c r="C49" s="230"/>
      <c r="D49" s="270"/>
      <c r="E49" s="64">
        <v>3</v>
      </c>
      <c r="F49" s="307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6"/>
      <c r="L49" s="276"/>
      <c r="M49" s="276"/>
      <c r="N49" s="300"/>
      <c r="O49" s="276"/>
      <c r="P49" s="276"/>
      <c r="Q49" s="276"/>
      <c r="R49" s="302"/>
      <c r="S49" s="304"/>
      <c r="T49" s="293"/>
      <c r="U49" s="1"/>
    </row>
    <row r="50" spans="1:21" ht="14.25" customHeight="1">
      <c r="A50" s="9"/>
      <c r="B50" s="267"/>
      <c r="C50" s="230"/>
      <c r="D50" s="230" t="s">
        <v>41</v>
      </c>
      <c r="E50" s="73">
        <v>1</v>
      </c>
      <c r="F50" s="308" t="str">
        <f>IFERROR(LEFT(總表!$E34,FIND("+",總表!$E34)-1),總表!$E34)</f>
        <v>關東煮</v>
      </c>
      <c r="G50" s="21" t="str">
        <f>IFERROR(IF(VLOOKUP($E50&amp;+$F$50,依據!$A:$C,3,FALSE)=0,"",VLOOKUP($E50&amp;+$F$50,依據!$A:$C,3,FALSE)),"")</f>
        <v>白蘿蔔</v>
      </c>
      <c r="H50" s="21">
        <f>IFERROR(IF(VLOOKUP($E50&amp;+$F$50,依據!$A:$D,4,FALSE)=0,"",(VLOOKUP($E50&amp;+$F$50,依據!$A:$D,4,FALSE))),"")</f>
        <v>2.5</v>
      </c>
      <c r="I50" s="20" t="str">
        <f>IFERROR(IF(VLOOKUP($E50&amp;+$F$50,依據!$A:$E,5,FALSE)=0,"",VLOOKUP($E50&amp;+$F$50,依據!$A:$E,5,FALSE)),"")</f>
        <v>油豆腐丁</v>
      </c>
      <c r="J50" s="34">
        <f>IFERROR(IF(VLOOKUP($E50&amp;+$F$50,依據!$A:$F,6,FALSE)=0,"",(VLOOKUP($E50&amp;+$F$50,依據!$A:$F,6,FALSE))),"")</f>
        <v>0.5</v>
      </c>
      <c r="K50" s="274">
        <f>IF($F50="不供餐","",IFERROR(VLOOKUP($F50,依據!$B:L,11,FALSE),0)+IFERROR(VLOOKUP($F53,依據!$B:L,11,FALSE),0))</f>
        <v>0</v>
      </c>
      <c r="L50" s="277">
        <f>IF($F50="不供餐","",IFERROR(VLOOKUP($F50,依據!$B:M,12,FALSE),0)+IFERROR(VLOOKUP($F53,依據!$B:M,12,FALSE),0))</f>
        <v>0.2</v>
      </c>
      <c r="M50" s="277">
        <f>IF($F50="不供餐","",IFERROR(VLOOKUP($F50,依據!$B:N,13,FALSE),0)+IFERROR(VLOOKUP($F53,依據!$B:N,13,FALSE),0))</f>
        <v>0</v>
      </c>
      <c r="N50" s="298">
        <f>IF($F50="不供餐","",IFERROR(VLOOKUP($F50,依據!$B:O,14,FALSE),0)+IFERROR(VLOOKUP($F53,依據!$B:O,14,FALSE),0))</f>
        <v>0</v>
      </c>
      <c r="O50" s="277">
        <f>IF($F50="不供餐","",IFERROR(VLOOKUP($F50,依據!$B:P,15,FALSE),0)+IFERROR(VLOOKUP($F53,依據!$B:P,15,FALSE),0))</f>
        <v>0</v>
      </c>
      <c r="P50" s="277">
        <f>IF($F50="不供餐","",IFERROR(VLOOKUP($F50,依據!$B:Q,16,FALSE),0)+IFERROR(VLOOKUP($F53,依據!$B:Q,16,FALSE),0))</f>
        <v>0</v>
      </c>
      <c r="Q50" s="277">
        <f>IF($F50="不供餐","",IFERROR(VLOOKUP($F50,依據!$B:R,17,FALSE),0)+IFERROR(VLOOKUP($F53,依據!$B:R,17,FALSE),0))</f>
        <v>0</v>
      </c>
      <c r="R50" s="301">
        <f>IF($F50="不供餐","",SUM(K50*70+L50*75+M50*120+N50*25+O50*60+P50*45+Q50*4))</f>
        <v>15</v>
      </c>
      <c r="S50" s="303" t="str">
        <f>_xlfn.IFS(COUNTIF($F50,"水果拼盤")=1,"水果3種",(COUNTIF($F50,"水果拼盤"))=0,"")</f>
        <v/>
      </c>
      <c r="T50" s="291"/>
      <c r="U50" s="1"/>
    </row>
    <row r="51" spans="1:21" ht="14.25" customHeight="1">
      <c r="A51" s="9"/>
      <c r="B51" s="267"/>
      <c r="C51" s="230"/>
      <c r="D51" s="230"/>
      <c r="E51" s="63">
        <v>2</v>
      </c>
      <c r="F51" s="309"/>
      <c r="G51" s="22" t="str">
        <f>IFERROR(IF(VLOOKUP($E51&amp;+$F$50,依據!$A:$C,3,FALSE)=0,"",VLOOKUP($E51&amp;+$F$50,依據!$A:$C,3,FALSE)),"")</f>
        <v>豬血糕</v>
      </c>
      <c r="H51" s="22">
        <f>IFERROR(IF(VLOOKUP($E51&amp;+$F$50,依據!$A:$D,4,FALSE)=0,"",(VLOOKUP($E51&amp;+$F$50,依據!$A:$D,4,FALSE))),"")</f>
        <v>0.6</v>
      </c>
      <c r="I51" s="23" t="str">
        <f>IFERROR(IF(VLOOKUP($E51&amp;+$F$50,依據!$A:$E,5,FALSE)=0,"",VLOOKUP($E51&amp;+$F$50,依據!$A:$E,5,FALSE)),"")</f>
        <v>貢丸</v>
      </c>
      <c r="J51" s="36">
        <f>IFERROR(IF(VLOOKUP($E51&amp;+$F$50,依據!$A:$F,6,FALSE)=0,"",(VLOOKUP($E51&amp;+$F$50,依據!$A:$F,6,FALSE))),"")</f>
        <v>0.5</v>
      </c>
      <c r="K51" s="275"/>
      <c r="L51" s="275"/>
      <c r="M51" s="275"/>
      <c r="N51" s="299"/>
      <c r="O51" s="275"/>
      <c r="P51" s="275"/>
      <c r="Q51" s="275"/>
      <c r="R51" s="302"/>
      <c r="S51" s="303"/>
      <c r="T51" s="291"/>
      <c r="U51" s="1"/>
    </row>
    <row r="52" spans="1:21" ht="14.25" customHeight="1">
      <c r="A52" s="9"/>
      <c r="B52" s="267"/>
      <c r="C52" s="230"/>
      <c r="D52" s="230"/>
      <c r="E52" s="63">
        <v>3</v>
      </c>
      <c r="F52" s="310"/>
      <c r="G52" s="24" t="str">
        <f>IFERROR(IF(VLOOKUP($E52&amp;+$F$50,依據!$A:$C,3,FALSE)=0,"",VLOOKUP($E52&amp;+$F$50,依據!$A:$C,3,FALSE)),"")</f>
        <v>甜不辣條</v>
      </c>
      <c r="H52" s="24">
        <f>IFERROR(IF(VLOOKUP($E52&amp;+$F$50,依據!$A:$D,4,FALSE)=0,"",(VLOOKUP($E52&amp;+$F$50,依據!$A:$D,4,FALSE))),"")</f>
        <v>0.5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5"/>
      <c r="L52" s="275"/>
      <c r="M52" s="275"/>
      <c r="N52" s="299"/>
      <c r="O52" s="275"/>
      <c r="P52" s="275"/>
      <c r="Q52" s="275"/>
      <c r="R52" s="302"/>
      <c r="S52" s="303"/>
      <c r="T52" s="291"/>
      <c r="U52" s="1"/>
    </row>
    <row r="53" spans="1:21" ht="14.25" customHeight="1">
      <c r="A53" s="9"/>
      <c r="B53" s="267"/>
      <c r="C53" s="230"/>
      <c r="D53" s="230"/>
      <c r="E53" s="63">
        <v>1</v>
      </c>
      <c r="F53" s="311">
        <f>IFERROR(IF(FIND("+",總表!$E34)&gt;0,RIGHT(總表!$E34,LEN(總表!$E34)-FIND("+",總表!$E34)),""),0)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5"/>
      <c r="L53" s="275"/>
      <c r="M53" s="275"/>
      <c r="N53" s="299"/>
      <c r="O53" s="275"/>
      <c r="P53" s="275"/>
      <c r="Q53" s="275"/>
      <c r="R53" s="302"/>
      <c r="S53" s="303"/>
      <c r="T53" s="291"/>
      <c r="U53" s="1"/>
    </row>
    <row r="54" spans="1:21" ht="14.25" customHeight="1">
      <c r="A54" s="9"/>
      <c r="B54" s="267"/>
      <c r="C54" s="230"/>
      <c r="D54" s="230"/>
      <c r="E54" s="63">
        <v>2</v>
      </c>
      <c r="F54" s="312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5"/>
      <c r="L54" s="275"/>
      <c r="M54" s="275"/>
      <c r="N54" s="299"/>
      <c r="O54" s="275"/>
      <c r="P54" s="275"/>
      <c r="Q54" s="275"/>
      <c r="R54" s="302"/>
      <c r="S54" s="303"/>
      <c r="T54" s="291"/>
      <c r="U54" s="1"/>
    </row>
    <row r="55" spans="1:21" ht="14.25" customHeight="1">
      <c r="A55" s="9"/>
      <c r="B55" s="268"/>
      <c r="C55" s="270"/>
      <c r="D55" s="270"/>
      <c r="E55" s="64">
        <v>3</v>
      </c>
      <c r="F55" s="313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6"/>
      <c r="L55" s="276"/>
      <c r="M55" s="276"/>
      <c r="N55" s="300"/>
      <c r="O55" s="276"/>
      <c r="P55" s="276"/>
      <c r="Q55" s="276"/>
      <c r="R55" s="302"/>
      <c r="S55" s="304"/>
      <c r="T55" s="293"/>
      <c r="U55" s="1"/>
    </row>
    <row r="56" spans="1:21" ht="14.25" customHeight="1">
      <c r="A56" s="9"/>
      <c r="B56" s="314">
        <f t="shared" si="1"/>
        <v>45289</v>
      </c>
      <c r="C56" s="341" t="s">
        <v>10</v>
      </c>
      <c r="D56" s="315" t="s">
        <v>40</v>
      </c>
      <c r="E56" s="73">
        <v>1</v>
      </c>
      <c r="F56" s="271" t="str">
        <f>LEFT(總表!$D35,IF(F59=0,LEN(總表!$D35)+3,LEN(總表!$D35)-3))</f>
        <v>白菜冬粉煲</v>
      </c>
      <c r="G56" s="21" t="str">
        <f>IFERROR(IF(VLOOKUP($E56&amp;+$F$56,依據!$A:$C,3,FALSE)=0,"",VLOOKUP($E56&amp;+$F$56,依據!$A:$C,3,FALSE)),"")</f>
        <v>捲心白菜</v>
      </c>
      <c r="H56" s="21">
        <f>IFERROR(IF(VLOOKUP($E56&amp;+$F$56,依據!$A:$D,4,FALSE)=0,"",(VLOOKUP($E56&amp;+$F$56,依據!$A:$D,4,FALSE))),"")</f>
        <v>0.6</v>
      </c>
      <c r="I56" s="20" t="str">
        <f>IFERROR(IF(VLOOKUP($E56&amp;+$F$56,依據!$A:$E,5,FALSE)=0,"",VLOOKUP($E56&amp;+$F$56,依據!$A:$E,5,FALSE)),"")</f>
        <v>冬粉</v>
      </c>
      <c r="J56" s="34">
        <f>IFERROR(IF(VLOOKUP($E56&amp;+$F$56,依據!$A:$F,6,FALSE)=0,"",(VLOOKUP($E56&amp;+$F$56,依據!$A:$F,6,FALSE))),"")</f>
        <v>0.8</v>
      </c>
      <c r="K56" s="274">
        <f>IF($F56="不供餐","",IFERROR(VLOOKUP($F56,依據!$B:L,11,FALSE),0)+IFERROR(VLOOKUP($F59,依據!$B:L,11,FALSE),0))</f>
        <v>1.0666666666666669</v>
      </c>
      <c r="L56" s="277">
        <f>IF($F56="不供餐","",IFERROR(VLOOKUP($F56,依據!$B:M,12,FALSE),0)+IFERROR(VLOOKUP($F59,依據!$B:M,12,FALSE),0))</f>
        <v>0.18461538461538463</v>
      </c>
      <c r="M56" s="277">
        <f>IF($F56="不供餐","",IFERROR(VLOOKUP($F56,依據!$B:N,13,FALSE),0)+IFERROR(VLOOKUP($F59,依據!$B:N,13,FALSE),0))</f>
        <v>0</v>
      </c>
      <c r="N56" s="298">
        <f>IF($F56="不供餐","",IFERROR(VLOOKUP($F56,依據!$B:O,14,FALSE),0)+IFERROR(VLOOKUP($F59,依據!$B:O,14,FALSE),0))</f>
        <v>0.04</v>
      </c>
      <c r="O56" s="277">
        <f>IF($F56="不供餐","",IFERROR(VLOOKUP($F56,依據!$B:P,15,FALSE),0)+IFERROR(VLOOKUP($F59,依據!$B:P,15,FALSE),0))</f>
        <v>1.04</v>
      </c>
      <c r="P56" s="277">
        <f>IF($F56="不供餐","",IFERROR(VLOOKUP($F56,依據!$B:Q,16,FALSE),0)+IFERROR(VLOOKUP($F59,依據!$B:Q,16,FALSE),0))</f>
        <v>0</v>
      </c>
      <c r="Q56" s="277">
        <f>IF($F56="不供餐","",IFERROR(VLOOKUP($F56,依據!$B:R,17,FALSE),0)+IFERROR(VLOOKUP($F59,依據!$B:R,17,FALSE),0))</f>
        <v>0</v>
      </c>
      <c r="R56" s="301">
        <f>IF($F56="不供餐","",SUM(K56*70+L56*75+M56*120+N56*25+O56*60+P56*45+Q56*4))</f>
        <v>151.91282051282053</v>
      </c>
      <c r="S56" s="303" t="str">
        <f>_xlfn.IFS(COUNTIF($F59,"水果")=1,"水果1種",(COUNTIF($F59,"水果"))=0,"")</f>
        <v>水果1種</v>
      </c>
      <c r="T56" s="291"/>
      <c r="U56" s="1"/>
    </row>
    <row r="57" spans="1:21" ht="14.25" customHeight="1">
      <c r="A57" s="9"/>
      <c r="B57" s="267"/>
      <c r="C57" s="283"/>
      <c r="D57" s="230"/>
      <c r="E57" s="63">
        <v>2</v>
      </c>
      <c r="F57" s="272"/>
      <c r="G57" s="22" t="str">
        <f>IFERROR(IF(VLOOKUP($E57&amp;+$F$56,依據!$A:$C,3,FALSE)=0,"",VLOOKUP($E57&amp;+$F$56,依據!$A:$C,3,FALSE)),"")</f>
        <v>雞蛋</v>
      </c>
      <c r="H57" s="22">
        <f>IFERROR(IF(VLOOKUP($E57&amp;+$F$56,依據!$A:$D,4,FALSE)=0,"",(VLOOKUP($E57&amp;+$F$56,依據!$A:$D,4,FALSE))),"")</f>
        <v>0.6</v>
      </c>
      <c r="I57" s="23" t="str">
        <f>IFERROR(IF(VLOOKUP($E57&amp;+$F$56,依據!$A:$E,5,FALSE)=0,"",VLOOKUP($E57&amp;+$F$56,依據!$A:$E,5,FALSE)),"")</f>
        <v>蝦皮</v>
      </c>
      <c r="J57" s="36">
        <f>IFERROR(IF(VLOOKUP($E57&amp;+$F$56,依據!$A:$F,6,FALSE)=0,"",(VLOOKUP($E57&amp;+$F$56,依據!$A:$F,6,FALSE))),"")</f>
        <v>0.1</v>
      </c>
      <c r="K57" s="275"/>
      <c r="L57" s="275"/>
      <c r="M57" s="275"/>
      <c r="N57" s="299"/>
      <c r="O57" s="275"/>
      <c r="P57" s="275"/>
      <c r="Q57" s="275"/>
      <c r="R57" s="302"/>
      <c r="S57" s="303"/>
      <c r="T57" s="291"/>
      <c r="U57" s="1"/>
    </row>
    <row r="58" spans="1:21" ht="14.25" customHeight="1">
      <c r="A58" s="9"/>
      <c r="B58" s="267"/>
      <c r="C58" s="283"/>
      <c r="D58" s="230"/>
      <c r="E58" s="63">
        <v>3</v>
      </c>
      <c r="F58" s="273"/>
      <c r="G58" s="24" t="str">
        <f>IFERROR(IF(VLOOKUP($E58&amp;+$F$56,依據!$A:$C,3,FALSE)=0,"",VLOOKUP($E58&amp;+$F$56,依據!$A:$C,3,FALSE)),"")</f>
        <v>木耳</v>
      </c>
      <c r="H58" s="24">
        <f>IFERROR(IF(VLOOKUP($E58&amp;+$F$56,依據!$A:$D,4,FALSE)=0,"",(VLOOKUP($E58&amp;+$F$56,依據!$A:$D,4,FALSE))),"")</f>
        <v>0.2</v>
      </c>
      <c r="I58" s="25" t="str">
        <f>IFERROR(IF(VLOOKUP($E58&amp;+$F$56,依據!$A:$E,5,FALSE)=0,"",VLOOKUP($E58&amp;+$F$56,依據!$A:$E,5,FALSE)),"")</f>
        <v>蔥</v>
      </c>
      <c r="J58" s="37">
        <f>IFERROR(IF(VLOOKUP($E58&amp;+$F$56,依據!$A:$F,6,FALSE)=0,"",(VLOOKUP($E58&amp;+$F$56,依據!$A:$F,6,FALSE))),"")</f>
        <v>0.1</v>
      </c>
      <c r="K58" s="275"/>
      <c r="L58" s="275"/>
      <c r="M58" s="275"/>
      <c r="N58" s="299"/>
      <c r="O58" s="275"/>
      <c r="P58" s="275"/>
      <c r="Q58" s="275"/>
      <c r="R58" s="302"/>
      <c r="S58" s="303"/>
      <c r="T58" s="291"/>
      <c r="U58" s="1"/>
    </row>
    <row r="59" spans="1:21" ht="14.25" customHeight="1">
      <c r="A59" s="9"/>
      <c r="B59" s="267"/>
      <c r="C59" s="283"/>
      <c r="D59" s="230"/>
      <c r="E59" s="63">
        <v>1</v>
      </c>
      <c r="F59" s="316" t="str">
        <f>IFERROR(IF(FIND("+水果",總表!$D35)&gt;0,"水果",""),0)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1249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5"/>
      <c r="L59" s="275"/>
      <c r="M59" s="275"/>
      <c r="N59" s="299"/>
      <c r="O59" s="275"/>
      <c r="P59" s="275"/>
      <c r="Q59" s="275"/>
      <c r="R59" s="302"/>
      <c r="S59" s="303"/>
      <c r="T59" s="291"/>
      <c r="U59" s="1"/>
    </row>
    <row r="60" spans="1:21" ht="14.25" customHeight="1">
      <c r="A60" s="9"/>
      <c r="B60" s="267"/>
      <c r="C60" s="283"/>
      <c r="D60" s="230"/>
      <c r="E60" s="63">
        <v>2</v>
      </c>
      <c r="F60" s="306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5"/>
      <c r="L60" s="275"/>
      <c r="M60" s="275"/>
      <c r="N60" s="299"/>
      <c r="O60" s="275"/>
      <c r="P60" s="275"/>
      <c r="Q60" s="275"/>
      <c r="R60" s="302"/>
      <c r="S60" s="303"/>
      <c r="T60" s="291"/>
      <c r="U60" s="1"/>
    </row>
    <row r="61" spans="1:21" ht="14.25" customHeight="1">
      <c r="A61" s="9"/>
      <c r="B61" s="267"/>
      <c r="C61" s="283"/>
      <c r="D61" s="270"/>
      <c r="E61" s="64">
        <v>3</v>
      </c>
      <c r="F61" s="307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6"/>
      <c r="L61" s="276"/>
      <c r="M61" s="276"/>
      <c r="N61" s="300"/>
      <c r="O61" s="276"/>
      <c r="P61" s="276"/>
      <c r="Q61" s="276"/>
      <c r="R61" s="302"/>
      <c r="S61" s="304"/>
      <c r="T61" s="293"/>
      <c r="U61" s="1"/>
    </row>
    <row r="62" spans="1:21" ht="14.25" customHeight="1">
      <c r="A62" s="9"/>
      <c r="B62" s="267"/>
      <c r="C62" s="283"/>
      <c r="D62" s="230" t="s">
        <v>41</v>
      </c>
      <c r="E62" s="73">
        <v>1</v>
      </c>
      <c r="F62" s="332" t="s">
        <v>1244</v>
      </c>
      <c r="G62" s="21" t="s">
        <v>1243</v>
      </c>
      <c r="H62" s="21">
        <v>1.2</v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74">
        <v>2</v>
      </c>
      <c r="L62" s="277">
        <v>0</v>
      </c>
      <c r="M62" s="277">
        <v>0</v>
      </c>
      <c r="N62" s="298">
        <v>0</v>
      </c>
      <c r="O62" s="277">
        <v>0</v>
      </c>
      <c r="P62" s="277">
        <v>0</v>
      </c>
      <c r="Q62" s="277">
        <v>10</v>
      </c>
      <c r="R62" s="301">
        <f>IF($F62="不供餐","",SUM(K62*70+L62*75+M62*120+N62*25+O62*60+P62*45+Q62*4))</f>
        <v>180</v>
      </c>
      <c r="S62" s="303" t="str">
        <f>_xlfn.IFS(COUNTIF($F62,"水果拼盤")=1,"水果3種",(COUNTIF($F62,"水果拼盤"))=0,"")</f>
        <v/>
      </c>
      <c r="T62" s="291"/>
      <c r="U62" s="1"/>
    </row>
    <row r="63" spans="1:21" ht="14.25" customHeight="1">
      <c r="A63" s="9"/>
      <c r="B63" s="267"/>
      <c r="C63" s="283"/>
      <c r="D63" s="230"/>
      <c r="E63" s="63">
        <v>2</v>
      </c>
      <c r="F63" s="333"/>
      <c r="G63" s="22" t="s">
        <v>1245</v>
      </c>
      <c r="H63" s="22" t="s">
        <v>1247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5"/>
      <c r="L63" s="275"/>
      <c r="M63" s="275"/>
      <c r="N63" s="299"/>
      <c r="O63" s="275"/>
      <c r="P63" s="275"/>
      <c r="Q63" s="275"/>
      <c r="R63" s="302"/>
      <c r="S63" s="303"/>
      <c r="T63" s="291"/>
      <c r="U63" s="1"/>
    </row>
    <row r="64" spans="1:21" ht="14.25" customHeight="1">
      <c r="A64" s="9"/>
      <c r="B64" s="267"/>
      <c r="C64" s="283"/>
      <c r="D64" s="230"/>
      <c r="E64" s="63">
        <v>3</v>
      </c>
      <c r="F64" s="334"/>
      <c r="G64" s="24" t="s">
        <v>1246</v>
      </c>
      <c r="H64" s="24"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5"/>
      <c r="L64" s="275"/>
      <c r="M64" s="275"/>
      <c r="N64" s="299"/>
      <c r="O64" s="275"/>
      <c r="P64" s="275"/>
      <c r="Q64" s="275"/>
      <c r="R64" s="302"/>
      <c r="S64" s="303"/>
      <c r="T64" s="291"/>
      <c r="U64" s="1"/>
    </row>
    <row r="65" spans="1:21" ht="14.25" customHeight="1">
      <c r="A65" s="9"/>
      <c r="B65" s="267"/>
      <c r="C65" s="283"/>
      <c r="D65" s="230"/>
      <c r="E65" s="63">
        <v>1</v>
      </c>
      <c r="F65" s="311">
        <f>IFERROR(IF(FIND("+",總表!$E35)&gt;0,RIGHT(總表!$E35,LEN(總表!$E35)-FIND("+",總表!$E35)),""),0)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5"/>
      <c r="L65" s="275"/>
      <c r="M65" s="275"/>
      <c r="N65" s="299"/>
      <c r="O65" s="275"/>
      <c r="P65" s="275"/>
      <c r="Q65" s="275"/>
      <c r="R65" s="302"/>
      <c r="S65" s="303"/>
      <c r="T65" s="291"/>
      <c r="U65" s="1"/>
    </row>
    <row r="66" spans="1:21" ht="14.25" customHeight="1">
      <c r="A66" s="9"/>
      <c r="B66" s="267"/>
      <c r="C66" s="283"/>
      <c r="D66" s="230"/>
      <c r="E66" s="63">
        <v>2</v>
      </c>
      <c r="F66" s="312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5"/>
      <c r="L66" s="275"/>
      <c r="M66" s="275"/>
      <c r="N66" s="299"/>
      <c r="O66" s="275"/>
      <c r="P66" s="275"/>
      <c r="Q66" s="275"/>
      <c r="R66" s="302"/>
      <c r="S66" s="303"/>
      <c r="T66" s="291"/>
      <c r="U66" s="1"/>
    </row>
    <row r="67" spans="1:21" ht="14.25" customHeight="1">
      <c r="A67" s="9"/>
      <c r="B67" s="268"/>
      <c r="C67" s="284"/>
      <c r="D67" s="270"/>
      <c r="E67" s="64">
        <v>3</v>
      </c>
      <c r="F67" s="313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6"/>
      <c r="L67" s="276"/>
      <c r="M67" s="276"/>
      <c r="N67" s="300"/>
      <c r="O67" s="276"/>
      <c r="P67" s="276"/>
      <c r="Q67" s="276"/>
      <c r="R67" s="302"/>
      <c r="S67" s="304"/>
      <c r="T67" s="293"/>
      <c r="U67" s="1"/>
    </row>
    <row r="68" spans="1:21" ht="14.25" hidden="1" customHeight="1">
      <c r="A68" s="9"/>
      <c r="B68" s="314">
        <f t="shared" ref="B68" si="2">DATE(YEAR(B56),MONTH(B56),DAY(B56)+1)</f>
        <v>45290</v>
      </c>
      <c r="C68" s="341" t="s">
        <v>71</v>
      </c>
      <c r="D68" s="315" t="s">
        <v>40</v>
      </c>
      <c r="E68" s="73">
        <v>1</v>
      </c>
      <c r="F68" s="271" t="str">
        <f>LEFT(總表!$D36,IF(F71=0,LEN(總表!$D36)+3,LEN(總表!$D36)-3))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74">
        <f>IF($F68="不供餐","",IFERROR(VLOOKUP($F68,依據!$B:L,11,FALSE),0)+IFERROR(VLOOKUP($F71,依據!$B:L,11,FALSE),0))</f>
        <v>0</v>
      </c>
      <c r="L68" s="277">
        <f>IF($F68="不供餐","",IFERROR(VLOOKUP($F68,依據!$B:M,12,FALSE),0)+IFERROR(VLOOKUP($F71,依據!$B:M,12,FALSE),0))</f>
        <v>0</v>
      </c>
      <c r="M68" s="277">
        <f>IF($F68="不供餐","",IFERROR(VLOOKUP($F68,依據!$B:N,13,FALSE),0)+IFERROR(VLOOKUP($F71,依據!$B:N,13,FALSE),0))</f>
        <v>0</v>
      </c>
      <c r="N68" s="298">
        <f>IF($F68="不供餐","",IFERROR(VLOOKUP($F68,依據!$B:O,14,FALSE),0)+IFERROR(VLOOKUP($F71,依據!$B:O,14,FALSE),0))</f>
        <v>0</v>
      </c>
      <c r="O68" s="277">
        <f>IF($F68="不供餐","",IFERROR(VLOOKUP($F68,依據!$B:P,15,FALSE),0)+IFERROR(VLOOKUP($F71,依據!$B:P,15,FALSE),0))</f>
        <v>0</v>
      </c>
      <c r="P68" s="277">
        <f>IF($F68="不供餐","",IFERROR(VLOOKUP($F68,依據!$B:Q,16,FALSE),0)+IFERROR(VLOOKUP($F71,依據!$B:Q,16,FALSE),0))</f>
        <v>0</v>
      </c>
      <c r="Q68" s="277">
        <f>IF($F68="不供餐","",IFERROR(VLOOKUP($F68,依據!$B:R,17,FALSE),0)+IFERROR(VLOOKUP($F71,依據!$B:R,17,FALSE),0))</f>
        <v>0</v>
      </c>
      <c r="R68" s="301">
        <f>IF($F68="不供餐","",SUM(K68*70+L68*75+M68*120+N68*25+O68*60+P68*45+Q68*4))</f>
        <v>0</v>
      </c>
      <c r="S68" s="303" t="str">
        <f>_xlfn.IFS(COUNTIF($F71,"水果")=1,"水果1種",(COUNTIF($F71,"水果"))=0,"")</f>
        <v/>
      </c>
      <c r="T68" s="291"/>
      <c r="U68" s="1"/>
    </row>
    <row r="69" spans="1:21" ht="14.25" hidden="1" customHeight="1">
      <c r="A69" s="9"/>
      <c r="B69" s="267"/>
      <c r="C69" s="283"/>
      <c r="D69" s="230"/>
      <c r="E69" s="63">
        <v>2</v>
      </c>
      <c r="F69" s="272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5"/>
      <c r="L69" s="275"/>
      <c r="M69" s="275"/>
      <c r="N69" s="299"/>
      <c r="O69" s="275"/>
      <c r="P69" s="275"/>
      <c r="Q69" s="275"/>
      <c r="R69" s="302"/>
      <c r="S69" s="303"/>
      <c r="T69" s="291"/>
      <c r="U69" s="1"/>
    </row>
    <row r="70" spans="1:21" ht="14.25" hidden="1" customHeight="1">
      <c r="A70" s="9"/>
      <c r="B70" s="267"/>
      <c r="C70" s="283"/>
      <c r="D70" s="230"/>
      <c r="E70" s="63">
        <v>3</v>
      </c>
      <c r="F70" s="273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5"/>
      <c r="L70" s="275"/>
      <c r="M70" s="275"/>
      <c r="N70" s="299"/>
      <c r="O70" s="275"/>
      <c r="P70" s="275"/>
      <c r="Q70" s="275"/>
      <c r="R70" s="302"/>
      <c r="S70" s="303"/>
      <c r="T70" s="291"/>
      <c r="U70" s="1"/>
    </row>
    <row r="71" spans="1:21" ht="14.25" hidden="1" customHeight="1">
      <c r="A71" s="9"/>
      <c r="B71" s="267"/>
      <c r="C71" s="283"/>
      <c r="D71" s="230"/>
      <c r="E71" s="63">
        <v>1</v>
      </c>
      <c r="F71" s="316">
        <f>IFERROR(IF(FIND("+水果",總表!$D36)&gt;0,"水果",""),0)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5"/>
      <c r="L71" s="275"/>
      <c r="M71" s="275"/>
      <c r="N71" s="299"/>
      <c r="O71" s="275"/>
      <c r="P71" s="275"/>
      <c r="Q71" s="275"/>
      <c r="R71" s="302"/>
      <c r="S71" s="303"/>
      <c r="T71" s="291"/>
      <c r="U71" s="1"/>
    </row>
    <row r="72" spans="1:21" ht="14.25" hidden="1" customHeight="1">
      <c r="A72" s="9"/>
      <c r="B72" s="267"/>
      <c r="C72" s="283"/>
      <c r="D72" s="230"/>
      <c r="E72" s="63">
        <v>2</v>
      </c>
      <c r="F72" s="306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5"/>
      <c r="L72" s="275"/>
      <c r="M72" s="275"/>
      <c r="N72" s="299"/>
      <c r="O72" s="275"/>
      <c r="P72" s="275"/>
      <c r="Q72" s="275"/>
      <c r="R72" s="302"/>
      <c r="S72" s="303"/>
      <c r="T72" s="291"/>
      <c r="U72" s="1"/>
    </row>
    <row r="73" spans="1:21" ht="14.25" hidden="1" customHeight="1">
      <c r="A73" s="9"/>
      <c r="B73" s="267"/>
      <c r="C73" s="283"/>
      <c r="D73" s="270"/>
      <c r="E73" s="64">
        <v>3</v>
      </c>
      <c r="F73" s="307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6"/>
      <c r="L73" s="276"/>
      <c r="M73" s="276"/>
      <c r="N73" s="300"/>
      <c r="O73" s="276"/>
      <c r="P73" s="276"/>
      <c r="Q73" s="276"/>
      <c r="R73" s="302"/>
      <c r="S73" s="304"/>
      <c r="T73" s="293"/>
      <c r="U73" s="1"/>
    </row>
    <row r="74" spans="1:21" ht="14.25" hidden="1" customHeight="1">
      <c r="A74" s="9"/>
      <c r="B74" s="267"/>
      <c r="C74" s="283"/>
      <c r="D74" s="230" t="s">
        <v>41</v>
      </c>
      <c r="E74" s="73">
        <v>1</v>
      </c>
      <c r="F74" s="308">
        <f>IFERROR(LEFT(總表!$E36,FIND("+",總表!$E36)-1),總表!$E36)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74">
        <f>IF($F74="不供餐","",IFERROR(VLOOKUP($F74,依據!$B:L,11,FALSE),0)+IFERROR(VLOOKUP($F77,依據!$B:L,11,FALSE),0))</f>
        <v>0</v>
      </c>
      <c r="L74" s="277">
        <f>IF($F74="不供餐","",IFERROR(VLOOKUP($F74,依據!$B:M,12,FALSE),0)+IFERROR(VLOOKUP($F77,依據!$B:M,12,FALSE),0))</f>
        <v>0</v>
      </c>
      <c r="M74" s="277">
        <f>IF($F74="不供餐","",IFERROR(VLOOKUP($F74,依據!$B:N,13,FALSE),0)+IFERROR(VLOOKUP($F77,依據!$B:N,13,FALSE),0))</f>
        <v>0</v>
      </c>
      <c r="N74" s="298">
        <f>IF($F74="不供餐","",IFERROR(VLOOKUP($F74,依據!$B:O,14,FALSE),0)+IFERROR(VLOOKUP($F77,依據!$B:O,14,FALSE),0))</f>
        <v>0</v>
      </c>
      <c r="O74" s="277">
        <f>IF($F74="不供餐","",IFERROR(VLOOKUP($F74,依據!$B:P,15,FALSE),0)+IFERROR(VLOOKUP($F77,依據!$B:P,15,FALSE),0))</f>
        <v>0</v>
      </c>
      <c r="P74" s="277">
        <f>IF($F74="不供餐","",IFERROR(VLOOKUP($F74,依據!$B:Q,16,FALSE),0)+IFERROR(VLOOKUP($F77,依據!$B:Q,16,FALSE),0))</f>
        <v>0</v>
      </c>
      <c r="Q74" s="277">
        <f>IF($F74="不供餐","",IFERROR(VLOOKUP($F74,依據!$B:R,17,FALSE),0)+IFERROR(VLOOKUP($F77,依據!$B:R,17,FALSE),0))</f>
        <v>0</v>
      </c>
      <c r="R74" s="301">
        <f>IF($F74="不供餐","",SUM(K74*70+L74*75+M74*120+N74*25+O74*60+P74*45+Q74*4))</f>
        <v>0</v>
      </c>
      <c r="S74" s="303" t="str">
        <f>_xlfn.IFS(COUNTIF($F74,"水果拼盤")=1,"水果3種",(COUNTIF($F74,"水果拼盤"))=0,"")</f>
        <v/>
      </c>
      <c r="T74" s="291"/>
      <c r="U74" s="1"/>
    </row>
    <row r="75" spans="1:21" ht="14.25" hidden="1" customHeight="1">
      <c r="A75" s="9"/>
      <c r="B75" s="267"/>
      <c r="C75" s="283"/>
      <c r="D75" s="230"/>
      <c r="E75" s="63">
        <v>2</v>
      </c>
      <c r="F75" s="309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5"/>
      <c r="L75" s="275"/>
      <c r="M75" s="275"/>
      <c r="N75" s="299"/>
      <c r="O75" s="275"/>
      <c r="P75" s="275"/>
      <c r="Q75" s="275"/>
      <c r="R75" s="302"/>
      <c r="S75" s="303"/>
      <c r="T75" s="291"/>
      <c r="U75" s="1"/>
    </row>
    <row r="76" spans="1:21" ht="14.25" hidden="1" customHeight="1">
      <c r="A76" s="9"/>
      <c r="B76" s="267"/>
      <c r="C76" s="283"/>
      <c r="D76" s="230"/>
      <c r="E76" s="63">
        <v>3</v>
      </c>
      <c r="F76" s="310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5"/>
      <c r="L76" s="275"/>
      <c r="M76" s="275"/>
      <c r="N76" s="299"/>
      <c r="O76" s="275"/>
      <c r="P76" s="275"/>
      <c r="Q76" s="275"/>
      <c r="R76" s="302"/>
      <c r="S76" s="303"/>
      <c r="T76" s="291"/>
      <c r="U76" s="1"/>
    </row>
    <row r="77" spans="1:21" ht="14.25" hidden="1" customHeight="1">
      <c r="A77" s="9"/>
      <c r="B77" s="267"/>
      <c r="C77" s="283"/>
      <c r="D77" s="230"/>
      <c r="E77" s="63">
        <v>1</v>
      </c>
      <c r="F77" s="311">
        <f>IFERROR(IF(FIND("+",總表!$E36)&gt;0,RIGHT(總表!$E36,LEN(總表!$E36)-FIND("+",總表!$E36)),""),0)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5"/>
      <c r="L77" s="275"/>
      <c r="M77" s="275"/>
      <c r="N77" s="299"/>
      <c r="O77" s="275"/>
      <c r="P77" s="275"/>
      <c r="Q77" s="275"/>
      <c r="R77" s="302"/>
      <c r="S77" s="303"/>
      <c r="T77" s="291"/>
      <c r="U77" s="1"/>
    </row>
    <row r="78" spans="1:21" ht="14.25" hidden="1" customHeight="1">
      <c r="A78" s="9"/>
      <c r="B78" s="267"/>
      <c r="C78" s="283"/>
      <c r="D78" s="230"/>
      <c r="E78" s="63">
        <v>2</v>
      </c>
      <c r="F78" s="312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5"/>
      <c r="L78" s="275"/>
      <c r="M78" s="275"/>
      <c r="N78" s="299"/>
      <c r="O78" s="275"/>
      <c r="P78" s="275"/>
      <c r="Q78" s="275"/>
      <c r="R78" s="302"/>
      <c r="S78" s="303"/>
      <c r="T78" s="291"/>
      <c r="U78" s="1"/>
    </row>
    <row r="79" spans="1:21" ht="14.25" hidden="1" customHeight="1">
      <c r="A79" s="9"/>
      <c r="B79" s="268"/>
      <c r="C79" s="284"/>
      <c r="D79" s="270"/>
      <c r="E79" s="64">
        <v>3</v>
      </c>
      <c r="F79" s="313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6"/>
      <c r="L79" s="276"/>
      <c r="M79" s="276"/>
      <c r="N79" s="300"/>
      <c r="O79" s="276"/>
      <c r="P79" s="276"/>
      <c r="Q79" s="276"/>
      <c r="R79" s="302"/>
      <c r="S79" s="304"/>
      <c r="T79" s="293"/>
      <c r="U79" s="1"/>
    </row>
    <row r="80" spans="1:21" ht="14.25" customHeight="1">
      <c r="A80" s="9"/>
      <c r="B80" s="320"/>
      <c r="C80" s="321"/>
      <c r="D80" s="321"/>
      <c r="E80" s="322"/>
      <c r="F80" s="323"/>
      <c r="G80" s="320" t="s">
        <v>43</v>
      </c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3"/>
      <c r="U80" s="1"/>
    </row>
    <row r="81" spans="1:34" ht="14.25" customHeight="1">
      <c r="A81" s="9"/>
      <c r="B81" s="324"/>
      <c r="C81" s="325"/>
      <c r="D81" s="325"/>
      <c r="E81" s="325"/>
      <c r="F81" s="326"/>
      <c r="G81" s="324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1"/>
    </row>
    <row r="82" spans="1:34" ht="14.25" customHeight="1">
      <c r="A82" s="9"/>
      <c r="B82" s="324"/>
      <c r="C82" s="325"/>
      <c r="D82" s="325"/>
      <c r="E82" s="325"/>
      <c r="F82" s="326"/>
      <c r="G82" s="324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  <c r="U82" s="1"/>
    </row>
    <row r="83" spans="1:34" ht="14.25" customHeight="1">
      <c r="A83" s="9"/>
      <c r="B83" s="327"/>
      <c r="C83" s="280"/>
      <c r="D83" s="280"/>
      <c r="E83" s="280"/>
      <c r="F83" s="328"/>
      <c r="G83" s="327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328"/>
      <c r="U83" s="1"/>
    </row>
    <row r="84" spans="1:34" ht="21" customHeight="1">
      <c r="A84" s="9"/>
      <c r="B84" s="319" t="s">
        <v>14</v>
      </c>
      <c r="C84" s="319"/>
      <c r="D84" s="319"/>
      <c r="E84" s="319"/>
      <c r="F84" s="319"/>
      <c r="G84" s="319"/>
      <c r="H84" s="319"/>
      <c r="I84" s="319" t="s">
        <v>44</v>
      </c>
      <c r="J84" s="319"/>
      <c r="K84" s="319"/>
      <c r="L84" s="319"/>
      <c r="M84" s="319"/>
      <c r="N84" s="319"/>
      <c r="O84" s="319" t="s">
        <v>1269</v>
      </c>
      <c r="P84" s="319"/>
      <c r="Q84" s="319"/>
      <c r="R84" s="319"/>
      <c r="S84" s="319"/>
      <c r="T84" s="319"/>
      <c r="U84" s="1"/>
      <c r="Z84" s="6"/>
      <c r="AA84" s="6"/>
      <c r="AB84" s="6"/>
      <c r="AC84" s="6"/>
      <c r="AD84" s="6"/>
      <c r="AE84" s="6"/>
      <c r="AF84" s="6"/>
      <c r="AG84" s="6"/>
      <c r="AH84" s="6"/>
    </row>
    <row r="85" spans="1:34">
      <c r="B85" s="7"/>
    </row>
    <row r="146" spans="8:8">
      <c r="H146" s="2" t="s">
        <v>93</v>
      </c>
    </row>
  </sheetData>
  <sheetProtection formatCells="0" selectLockedCells="1" selectUnlockedCells="1"/>
  <mergeCells count="184"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D56:D61"/>
    <mergeCell ref="C56:C67"/>
    <mergeCell ref="B56:B6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S14:T19"/>
    <mergeCell ref="F11:F13"/>
    <mergeCell ref="S8:T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D20:D25"/>
    <mergeCell ref="F20:F22"/>
    <mergeCell ref="K20:K25"/>
    <mergeCell ref="L20:L25"/>
    <mergeCell ref="F8:F10"/>
    <mergeCell ref="R8:R13"/>
    <mergeCell ref="S26:T31"/>
    <mergeCell ref="F29:F31"/>
    <mergeCell ref="D14:D19"/>
    <mergeCell ref="F14:F16"/>
    <mergeCell ref="K14:K19"/>
    <mergeCell ref="L14:L19"/>
    <mergeCell ref="M14:M19"/>
    <mergeCell ref="F17:F19"/>
    <mergeCell ref="N14:N19"/>
    <mergeCell ref="O14:O19"/>
    <mergeCell ref="P14:P19"/>
    <mergeCell ref="Q14:Q19"/>
    <mergeCell ref="R14:R19"/>
    <mergeCell ref="O26:O31"/>
    <mergeCell ref="P26:P31"/>
    <mergeCell ref="M20:M25"/>
    <mergeCell ref="N20:N25"/>
    <mergeCell ref="O20:O25"/>
    <mergeCell ref="P20:P25"/>
    <mergeCell ref="Q20:Q25"/>
    <mergeCell ref="R20:R25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R56:R61"/>
    <mergeCell ref="N56:N61"/>
    <mergeCell ref="M56:M61"/>
    <mergeCell ref="S56:T61"/>
    <mergeCell ref="L56:L61"/>
    <mergeCell ref="K56:K61"/>
    <mergeCell ref="F59:F61"/>
    <mergeCell ref="F56:F58"/>
    <mergeCell ref="Q50:Q55"/>
    <mergeCell ref="R50:R55"/>
    <mergeCell ref="Q44:Q49"/>
    <mergeCell ref="R44:R49"/>
    <mergeCell ref="B84:H84"/>
    <mergeCell ref="I84:N84"/>
    <mergeCell ref="O84:T84"/>
    <mergeCell ref="Q62:Q67"/>
    <mergeCell ref="S62:T67"/>
    <mergeCell ref="F65:F67"/>
    <mergeCell ref="B80:F83"/>
    <mergeCell ref="G80:T83"/>
    <mergeCell ref="P62:P67"/>
    <mergeCell ref="O62:O67"/>
    <mergeCell ref="N62:N67"/>
    <mergeCell ref="M62:M67"/>
    <mergeCell ref="L62:L67"/>
    <mergeCell ref="K62:K67"/>
    <mergeCell ref="F62:F64"/>
    <mergeCell ref="D62:D67"/>
    <mergeCell ref="R62:R67"/>
    <mergeCell ref="S50:T55"/>
    <mergeCell ref="F53:F55"/>
    <mergeCell ref="O56:O61"/>
    <mergeCell ref="P56:P61"/>
    <mergeCell ref="Q56:Q61"/>
    <mergeCell ref="K38:K43"/>
    <mergeCell ref="L38:L43"/>
    <mergeCell ref="M38:M43"/>
    <mergeCell ref="N38:N43"/>
    <mergeCell ref="O38:O43"/>
    <mergeCell ref="P38:P43"/>
    <mergeCell ref="Q38:Q43"/>
    <mergeCell ref="R38:R43"/>
    <mergeCell ref="K8:K13"/>
    <mergeCell ref="L8:L13"/>
    <mergeCell ref="M8:M13"/>
    <mergeCell ref="N8:N13"/>
    <mergeCell ref="O8:O13"/>
    <mergeCell ref="P8:P13"/>
    <mergeCell ref="Q8:Q13"/>
    <mergeCell ref="Q26:Q31"/>
    <mergeCell ref="R26:R3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41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22"/>
  <sheetViews>
    <sheetView workbookViewId="0">
      <pane ySplit="1" topLeftCell="A418" activePane="bottomLeft" state="frozen"/>
      <selection activeCell="C1" sqref="C1"/>
      <selection pane="bottomLeft" activeCell="J436" sqref="J436"/>
    </sheetView>
  </sheetViews>
  <sheetFormatPr defaultRowHeight="16.5"/>
  <cols>
    <col min="1" max="1" width="21.75" style="16" customWidth="1"/>
    <col min="2" max="2" width="19" style="16" customWidth="1"/>
    <col min="3" max="3" width="12.875" style="16" customWidth="1"/>
    <col min="4" max="4" width="12.5" style="16" customWidth="1"/>
    <col min="5" max="5" width="13" style="16" customWidth="1"/>
    <col min="6" max="6" width="9" style="16"/>
    <col min="7" max="7" width="19" style="87" customWidth="1"/>
    <col min="8" max="8" width="14.75" style="94" customWidth="1"/>
    <col min="9" max="9" width="12.5" style="87" customWidth="1"/>
    <col min="10" max="10" width="13" style="94" customWidth="1"/>
    <col min="11" max="11" width="8.875" style="87"/>
    <col min="12" max="13" width="10.375" bestFit="1" customWidth="1"/>
    <col min="16" max="16" width="10.375" bestFit="1" customWidth="1"/>
  </cols>
  <sheetData>
    <row r="1" spans="1:21" ht="16.149999999999999" customHeight="1">
      <c r="A1">
        <v>50</v>
      </c>
      <c r="B1" s="154" t="s">
        <v>134</v>
      </c>
      <c r="C1" s="154" t="s">
        <v>136</v>
      </c>
      <c r="D1" s="154" t="s">
        <v>220</v>
      </c>
      <c r="E1" s="154" t="s">
        <v>136</v>
      </c>
      <c r="F1" s="154" t="s">
        <v>135</v>
      </c>
      <c r="G1" s="155" t="s">
        <v>134</v>
      </c>
      <c r="H1" s="155" t="s">
        <v>136</v>
      </c>
      <c r="I1" s="155" t="s">
        <v>271</v>
      </c>
      <c r="J1" s="155" t="s">
        <v>136</v>
      </c>
      <c r="K1" s="155" t="s">
        <v>271</v>
      </c>
      <c r="L1" s="156" t="s">
        <v>223</v>
      </c>
      <c r="M1" s="156" t="s">
        <v>224</v>
      </c>
      <c r="N1" s="157" t="s">
        <v>225</v>
      </c>
      <c r="O1" s="157" t="s">
        <v>226</v>
      </c>
      <c r="P1" s="156" t="s">
        <v>227</v>
      </c>
      <c r="Q1" s="154" t="s">
        <v>228</v>
      </c>
      <c r="R1" s="154" t="s">
        <v>229</v>
      </c>
      <c r="S1" s="154" t="s">
        <v>222</v>
      </c>
    </row>
    <row r="2" spans="1:21">
      <c r="A2" s="33" t="str">
        <f>"1"&amp;+$B2</f>
        <v>1水果拼盤</v>
      </c>
      <c r="B2" s="349" t="s">
        <v>96</v>
      </c>
      <c r="C2" s="57" t="s">
        <v>19</v>
      </c>
      <c r="D2" s="71" t="str">
        <f>$A$1+2&amp;+"份"</f>
        <v>52份</v>
      </c>
      <c r="E2" s="60"/>
      <c r="F2" s="36"/>
      <c r="G2" s="352" t="str">
        <f>B2</f>
        <v>水果拼盤</v>
      </c>
      <c r="H2" s="91" t="str">
        <f>C2</f>
        <v>水果</v>
      </c>
      <c r="I2" s="83">
        <f>IFERROR(IF(LEN(D2)=LENB(D2),ROUND(LEFT(D2,2*LEN(D2)-LENB(D2))/$A$1,3),((ROUND(LEFT(D2,2*LEN(D2)-LENB(D2))/$A$1,3))*VLOOKUP(H2,食材表!$A:$B,2,FALSE))),"")</f>
        <v>1.04</v>
      </c>
      <c r="J2" s="91">
        <f>E2</f>
        <v>0</v>
      </c>
      <c r="K2" s="83" t="str">
        <f>IFERROR(IF(LEN(F2)=LENB(F2),ROUND(LEFT(F2,2*LEN(F2)-LENB(F2))/$A$1,3),((ROUND(LEFT(F2,2*LEN(F2)-LENB(F2))/$A$1,3))*VLOOKUP(J2,食材表!$A:$B,2,FALSE))),"")</f>
        <v/>
      </c>
      <c r="L2" s="345">
        <f>IFERROR($I2*VLOOKUP($H2,食材表!$A:C,3,FALSE),0)+IFERROR($I3*VLOOKUP($H3,食材表!$A:C,3,FALSE),0)+IFERROR($I4*VLOOKUP($H4,食材表!$A:C,3,FALSE),0)+IFERROR($K2*VLOOKUP($J2,食材表!$A:C,3,FALSE),0)+IFERROR($K3*VLOOKUP($J3,食材表!$A:C,3,FALSE),0)+IFERROR($K4*VLOOKUP($J4,食材表!$A:C,3,FALSE),0)</f>
        <v>0</v>
      </c>
      <c r="M2" s="345">
        <f>IFERROR($I2*VLOOKUP($H2,食材表!$A:D,4,FALSE),0)+IFERROR($I3*VLOOKUP($H3,食材表!$A:D,4,FALSE),0)+IFERROR($I4*VLOOKUP($H4,食材表!$A:D,4,FALSE),0)+IFERROR($K2*VLOOKUP($J2,食材表!$A:D,4,FALSE),0)+IFERROR($K3*VLOOKUP($J3,食材表!$A:D,4,FALSE),0)+IFERROR($K4*VLOOKUP($J4,食材表!$A:D,4,FALSE),0)</f>
        <v>0</v>
      </c>
      <c r="N2" s="345">
        <f>IFERROR($I2*VLOOKUP($H2,食材表!$A:E,5,FALSE),0)+IFERROR($I3*VLOOKUP($H3,食材表!$A:E,5,FALSE),0)+IFERROR($I4*VLOOKUP($H4,食材表!$A:E,5,FALSE),0)+IFERROR($K2*VLOOKUP($J2,食材表!$A:E,5,FALSE),0)+IFERROR($K3*VLOOKUP($J3,食材表!$A:E,5,FALSE),0)+IFERROR($K4*VLOOKUP($J4,食材表!$A:E,5,FALSE),0)</f>
        <v>0</v>
      </c>
      <c r="O2" s="345">
        <f>IFERROR($I2*VLOOKUP($H2,食材表!$A:F,6,FALSE),0)+IFERROR($I3*VLOOKUP($H3,食材表!$A:F,6,FALSE),0)+IFERROR($I4*VLOOKUP($H4,食材表!$A:F,6,FALSE),0)+IFERROR($K2*VLOOKUP($J2,食材表!$A:F,6,FALSE),0)+IFERROR($K3*VLOOKUP($J3,食材表!$A:F,6,FALSE),0)+IFERROR($K4*VLOOKUP($J4,食材表!$A:F,6,FALSE),0)</f>
        <v>0</v>
      </c>
      <c r="P2" s="345">
        <f>IFERROR($I2*VLOOKUP($H2,食材表!$A:G,7,FALSE),0)+IFERROR($I3*VLOOKUP($H3,食材表!$A:G,7,FALSE),0)+IFERROR($I4*VLOOKUP($H4,食材表!$A:G,7,FALSE),0)+IFERROR($K2*VLOOKUP($J2,食材表!$A:G,7,FALSE),0)+IFERROR($K3*VLOOKUP($J3,食材表!$A:G,7,FALSE),0)+IFERROR($K4*VLOOKUP($J4,食材表!$A:G,7,FALSE),0)</f>
        <v>1.04</v>
      </c>
      <c r="Q2" s="345">
        <f>IFERROR($I2*VLOOKUP($H2,食材表!$A:H,8,FALSE),0)+IFERROR($I3*VLOOKUP($H3,食材表!$A:H,8,FALSE),0)+IFERROR($I4*VLOOKUP($H4,食材表!$A:H,8,FALSE),0)+IFERROR($K2*VLOOKUP($J2,食材表!$A:H,8,FALSE),0)+IFERROR($K3*VLOOKUP($J3,食材表!$A:H,8,FALSE),0)+IFERROR($K4*VLOOKUP($J4,食材表!$A:H,8,FALSE),0)</f>
        <v>0</v>
      </c>
      <c r="R2" s="345">
        <f>IFERROR($I2*VLOOKUP($H2,食材表!$A:I,9,FALSE),0)+IFERROR($I3*VLOOKUP($H3,食材表!$A:I,9,FALSE),0)+IFERROR($I4*VLOOKUP($H4,食材表!$A:I,9,FALSE),0)+IFERROR($K2*VLOOKUP($J2,食材表!$A:I,9,FALSE),0)+IFERROR($K3*VLOOKUP($J3,食材表!$A:I,9,FALSE),0)+IFERROR($K4*VLOOKUP($J4,食材表!$A:I,9,FALSE),0)</f>
        <v>0</v>
      </c>
      <c r="S2" s="345">
        <f>SUM(L2*70+M2*75+N2*120+O2*25+P2*60+Q2*45+R2*4)</f>
        <v>62.400000000000006</v>
      </c>
      <c r="U2" s="60" t="s">
        <v>401</v>
      </c>
    </row>
    <row r="3" spans="1:21">
      <c r="A3" s="33" t="str">
        <f>"2"&amp;+$B2</f>
        <v>2水果拼盤</v>
      </c>
      <c r="B3" s="350"/>
      <c r="C3" s="32"/>
      <c r="D3" s="48"/>
      <c r="E3" s="22"/>
      <c r="F3" s="36"/>
      <c r="G3" s="353"/>
      <c r="H3" s="93">
        <f t="shared" ref="H3:H4" si="0">C3</f>
        <v>0</v>
      </c>
      <c r="I3" s="86" t="str">
        <f>IFERROR(IF(LEN(D3)=LENB(D3),ROUND(LEFT(D3,2*LEN(D3)-LENB(D3))/$A$1,3),((ROUND(LEFT(D3,2*LEN(D3)-LENB(D3))/$A$1,3))*VLOOKUP(H3,食材表!$A:$B,2,FALSE))),"")</f>
        <v/>
      </c>
      <c r="J3" s="93">
        <f t="shared" ref="J3:J4" si="1">E3</f>
        <v>0</v>
      </c>
      <c r="K3" s="86" t="str">
        <f>IFERROR(IF(LEN(F3)=LENB(F3),ROUND(LEFT(F3,2*LEN(F3)-LENB(F3))/$A$1,3),((ROUND(LEFT(F3,2*LEN(F3)-LENB(F3))/$A$1,3))*VLOOKUP(J3,食材表!$A:$B,2,FALSE))),"")</f>
        <v/>
      </c>
      <c r="L3" s="345"/>
      <c r="M3" s="345"/>
      <c r="N3" s="345"/>
      <c r="O3" s="345"/>
      <c r="P3" s="345"/>
      <c r="Q3" s="345"/>
      <c r="R3" s="345"/>
      <c r="S3" s="345"/>
    </row>
    <row r="4" spans="1:21">
      <c r="A4" s="33" t="str">
        <f>"3"&amp;+$B2</f>
        <v>3水果拼盤</v>
      </c>
      <c r="B4" s="351"/>
      <c r="C4" s="28"/>
      <c r="D4" s="8"/>
      <c r="E4" s="26"/>
      <c r="F4" s="37"/>
      <c r="G4" s="354"/>
      <c r="H4" s="92">
        <f t="shared" si="0"/>
        <v>0</v>
      </c>
      <c r="I4" s="84" t="str">
        <f>IFERROR(IF(LEN(D4)=LENB(D4),ROUND(LEFT(D4,2*LEN(D4)-LENB(D4))/$A$1,3),((ROUND(LEFT(D4,2*LEN(D4)-LENB(D4))/$A$1,3))*VLOOKUP(H4,食材表!$A:$B,2,FALSE))),"")</f>
        <v/>
      </c>
      <c r="J4" s="92">
        <f t="shared" si="1"/>
        <v>0</v>
      </c>
      <c r="K4" s="85" t="str">
        <f>IFERROR(IF(LEN(F4)=LENB(F4),ROUND(LEFT(F4,2*LEN(F4)-LENB(F4))/$A$1,3),((ROUND(LEFT(F4,2*LEN(F4)-LENB(F4))/$A$1,3))*VLOOKUP(J4,食材表!$A:$B,2,FALSE))),"")</f>
        <v/>
      </c>
      <c r="L4" s="345"/>
      <c r="M4" s="345"/>
      <c r="N4" s="345"/>
      <c r="O4" s="345"/>
      <c r="P4" s="345"/>
      <c r="Q4" s="345"/>
      <c r="R4" s="345"/>
      <c r="S4" s="345"/>
    </row>
    <row r="5" spans="1:21">
      <c r="A5" s="33" t="str">
        <f>"1"&amp;+$B5</f>
        <v>1水果</v>
      </c>
      <c r="B5" s="355" t="s">
        <v>19</v>
      </c>
      <c r="C5" s="30" t="s">
        <v>19</v>
      </c>
      <c r="D5" s="71" t="str">
        <f>$A$1+2&amp;+"份"</f>
        <v>52份</v>
      </c>
      <c r="E5" s="22"/>
      <c r="F5" s="36"/>
      <c r="G5" s="346" t="str">
        <f>B5</f>
        <v>水果</v>
      </c>
      <c r="H5" s="91" t="str">
        <f>C5</f>
        <v>水果</v>
      </c>
      <c r="I5" s="83">
        <f>IFERROR(IF(LEN(D5)=LENB(D5),ROUND(LEFT(D5,2*LEN(D5)-LENB(D5))/$A$1,3),((ROUND(LEFT(D5,2*LEN(D5)-LENB(D5))/$A$1,3))*VLOOKUP(H5,食材表!$A:$B,2,FALSE))),"")</f>
        <v>1.04</v>
      </c>
      <c r="J5" s="91">
        <f>E5</f>
        <v>0</v>
      </c>
      <c r="K5" s="83" t="str">
        <f>IFERROR(IF(LEN(F5)=LENB(F5),ROUND(LEFT(F5,2*LEN(F5)-LENB(F5))/$A$1,3),((ROUND(LEFT(F5,2*LEN(F5)-LENB(F5))/$A$1,3))*VLOOKUP(J5,食材表!$A:$B,2,FALSE))),"")</f>
        <v/>
      </c>
      <c r="L5" s="345">
        <f>IFERROR($I5*VLOOKUP($H5,食材表!$A:C,3,FALSE),0)+IFERROR($I6*VLOOKUP($H6,食材表!$A:C,3,FALSE),0)+IFERROR($I7*VLOOKUP($H7,食材表!$A:C,3,FALSE),0)+IFERROR($K5*VLOOKUP($J5,食材表!$A:C,3,FALSE),0)+IFERROR($K6*VLOOKUP($J6,食材表!$A:C,3,FALSE),0)+IFERROR($K7*VLOOKUP($J7,食材表!$A:C,3,FALSE),0)</f>
        <v>0</v>
      </c>
      <c r="M5" s="345">
        <f>IFERROR($I5*VLOOKUP($H5,食材表!$A:D,4,FALSE),0)+IFERROR($I6*VLOOKUP($H6,食材表!$A:D,4,FALSE),0)+IFERROR($I7*VLOOKUP($H7,食材表!$A:D,4,FALSE),0)+IFERROR($K5*VLOOKUP($J5,食材表!$A:D,4,FALSE),0)+IFERROR($K6*VLOOKUP($J6,食材表!$A:D,4,FALSE),0)+IFERROR($K7*VLOOKUP($J7,食材表!$A:D,4,FALSE),0)</f>
        <v>0</v>
      </c>
      <c r="N5" s="345">
        <f>IFERROR($I5*VLOOKUP($H5,食材表!$A:E,5,FALSE),0)+IFERROR($I6*VLOOKUP($H6,食材表!$A:E,5,FALSE),0)+IFERROR($I7*VLOOKUP($H7,食材表!$A:E,5,FALSE),0)+IFERROR($K5*VLOOKUP($J5,食材表!$A:E,5,FALSE),0)+IFERROR($K6*VLOOKUP($J6,食材表!$A:E,5,FALSE),0)+IFERROR($K7*VLOOKUP($J7,食材表!$A:E,5,FALSE),0)</f>
        <v>0</v>
      </c>
      <c r="O5" s="345">
        <f>IFERROR($I5*VLOOKUP($H5,食材表!$A:F,6,FALSE),0)+IFERROR($I6*VLOOKUP($H6,食材表!$A:F,6,FALSE),0)+IFERROR($I7*VLOOKUP($H7,食材表!$A:F,6,FALSE),0)+IFERROR($K5*VLOOKUP($J5,食材表!$A:F,6,FALSE),0)+IFERROR($K6*VLOOKUP($J6,食材表!$A:F,6,FALSE),0)+IFERROR($K7*VLOOKUP($J7,食材表!$A:F,6,FALSE),0)</f>
        <v>0</v>
      </c>
      <c r="P5" s="345">
        <f>IFERROR($I5*VLOOKUP($H5,食材表!$A:G,7,FALSE),0)+IFERROR($I6*VLOOKUP($H6,食材表!$A:G,7,FALSE),0)+IFERROR($I7*VLOOKUP($H7,食材表!$A:G,7,FALSE),0)+IFERROR($K5*VLOOKUP($J5,食材表!$A:G,7,FALSE),0)+IFERROR($K6*VLOOKUP($J6,食材表!$A:G,7,FALSE),0)+IFERROR($K7*VLOOKUP($J7,食材表!$A:G,7,FALSE),0)</f>
        <v>1.04</v>
      </c>
      <c r="Q5" s="345">
        <f>IFERROR($I5*VLOOKUP($H5,食材表!$A:H,8,FALSE),0)+IFERROR($I6*VLOOKUP($H6,食材表!$A:H,8,FALSE),0)+IFERROR($I7*VLOOKUP($H7,食材表!$A:H,8,FALSE),0)+IFERROR($K5*VLOOKUP($J5,食材表!$A:H,8,FALSE),0)+IFERROR($K6*VLOOKUP($J6,食材表!$A:H,8,FALSE),0)+IFERROR($K7*VLOOKUP($J7,食材表!$A:H,8,FALSE),0)</f>
        <v>0</v>
      </c>
      <c r="R5" s="345">
        <f>IFERROR($I5*VLOOKUP($H5,食材表!$A:I,9,FALSE),0)+IFERROR($I6*VLOOKUP($H6,食材表!$A:I,9,FALSE),0)+IFERROR($I7*VLOOKUP($H7,食材表!$A:I,9,FALSE),0)+IFERROR($K5*VLOOKUP($J5,食材表!$A:I,9,FALSE),0)+IFERROR($K6*VLOOKUP($J6,食材表!$A:I,9,FALSE),0)+IFERROR($K7*VLOOKUP($J7,食材表!$A:I,9,FALSE),0)</f>
        <v>0</v>
      </c>
      <c r="S5" s="345">
        <f>SUM(L5*70+M5*75+N5*120+O5*25+P5*60+Q5*45+R5*4)</f>
        <v>62.400000000000006</v>
      </c>
    </row>
    <row r="6" spans="1:21">
      <c r="A6" s="33" t="str">
        <f>"2"&amp;+$B5</f>
        <v>2水果</v>
      </c>
      <c r="B6" s="356"/>
      <c r="C6" s="31"/>
      <c r="D6" s="36"/>
      <c r="E6" s="38"/>
      <c r="F6" s="36"/>
      <c r="G6" s="347"/>
      <c r="H6" s="93">
        <f t="shared" ref="H6:H7" si="2">C6</f>
        <v>0</v>
      </c>
      <c r="I6" s="86" t="str">
        <f>IFERROR(IF(LEN(D6)=LENB(D6),ROUND(LEFT(D6,2*LEN(D6)-LENB(D6))/$A$1,3),((ROUND(LEFT(D6,2*LEN(D6)-LENB(D6))/$A$1,3))*VLOOKUP(H6,食材表!$A:$B,2,FALSE))),"")</f>
        <v/>
      </c>
      <c r="J6" s="93">
        <f t="shared" ref="J6:J7" si="3">E6</f>
        <v>0</v>
      </c>
      <c r="K6" s="86" t="str">
        <f>IFERROR(IF(LEN(F6)=LENB(F6),ROUND(LEFT(F6,2*LEN(F6)-LENB(F6))/$A$1,3),((ROUND(LEFT(F6,2*LEN(F6)-LENB(F6))/$A$1,3))*VLOOKUP(J6,食材表!$A:$B,2,FALSE))),"")</f>
        <v/>
      </c>
      <c r="L6" s="345"/>
      <c r="M6" s="345"/>
      <c r="N6" s="345"/>
      <c r="O6" s="345"/>
      <c r="P6" s="345"/>
      <c r="Q6" s="345"/>
      <c r="R6" s="345"/>
      <c r="S6" s="345"/>
    </row>
    <row r="7" spans="1:21">
      <c r="A7" s="33" t="str">
        <f>"3"&amp;+$B5</f>
        <v>3水果</v>
      </c>
      <c r="B7" s="357"/>
      <c r="C7" s="27"/>
      <c r="D7" s="37"/>
      <c r="E7" s="23"/>
      <c r="F7" s="37"/>
      <c r="G7" s="348"/>
      <c r="H7" s="92">
        <f t="shared" si="2"/>
        <v>0</v>
      </c>
      <c r="I7" s="84" t="str">
        <f>IFERROR(IF(LEN(D7)=LENB(D7),ROUND(LEFT(D7,2*LEN(D7)-LENB(D7))/$A$1,3),((ROUND(LEFT(D7,2*LEN(D7)-LENB(D7))/$A$1,3))*VLOOKUP(H7,食材表!$A:$B,2,FALSE))),"")</f>
        <v/>
      </c>
      <c r="J7" s="92">
        <f t="shared" si="3"/>
        <v>0</v>
      </c>
      <c r="K7" s="85" t="str">
        <f>IFERROR(IF(LEN(F7)=LENB(F7),ROUND(LEFT(F7,2*LEN(F7)-LENB(F7))/$A$1,3),((ROUND(LEFT(F7,2*LEN(F7)-LENB(F7))/$A$1,3))*VLOOKUP(J7,食材表!$A:$B,2,FALSE))),"")</f>
        <v/>
      </c>
      <c r="L7" s="345"/>
      <c r="M7" s="345"/>
      <c r="N7" s="345"/>
      <c r="O7" s="345"/>
      <c r="P7" s="345"/>
      <c r="Q7" s="345"/>
      <c r="R7" s="345"/>
      <c r="S7" s="345"/>
    </row>
    <row r="8" spans="1:21">
      <c r="A8" s="33" t="str">
        <f>"1"&amp;+$B8</f>
        <v>1豆漿</v>
      </c>
      <c r="B8" s="349" t="s">
        <v>69</v>
      </c>
      <c r="C8" s="355" t="s">
        <v>69</v>
      </c>
      <c r="D8" s="60" t="s">
        <v>1212</v>
      </c>
      <c r="E8" s="60"/>
      <c r="F8" s="36"/>
      <c r="G8" s="352" t="str">
        <f>B8</f>
        <v>豆漿</v>
      </c>
      <c r="H8" s="91" t="str">
        <f>C8</f>
        <v>豆漿</v>
      </c>
      <c r="I8" s="83">
        <f>(2*IFERROR(MID(D8,FIND("2L*",D8)+3,1),0)+1*IFERROR(MID(D8,FIND("1L*",D8)+3,2),0))/$A$1</f>
        <v>0.14000000000000001</v>
      </c>
      <c r="J8" s="91">
        <f>E8</f>
        <v>0</v>
      </c>
      <c r="K8" s="83" t="str">
        <f>IFERROR(IF(LEN(F8)=LENB(F8),ROUND(LEFT(F8,2*LEN(F8)-LENB(F8))/$A$1,3),((ROUND(LEFT(F8,2*LEN(F8)-LENB(F8))/$A$1,3))*VLOOKUP(J8,食材表!$A:$B,2,FALSE))),"")</f>
        <v/>
      </c>
      <c r="L8" s="345">
        <f>IFERROR($I8*VLOOKUP($H8,食材表!$A:C,3,FALSE),0)+IFERROR($I9*VLOOKUP($H9,食材表!$A:C,3,FALSE),0)+IFERROR($I10*VLOOKUP($H10,食材表!$A:C,3,FALSE),0)+IFERROR($K8*VLOOKUP($J8,食材表!$A:C,3,FALSE),0)+IFERROR($K9*VLOOKUP($J9,食材表!$A:C,3,FALSE),0)+IFERROR($K10*VLOOKUP($J10,食材表!$A:C,3,FALSE),0)</f>
        <v>0</v>
      </c>
      <c r="M8" s="345">
        <f>IFERROR($I8*VLOOKUP($H8,食材表!$A:D,4,FALSE),0)+IFERROR($I9*VLOOKUP($H9,食材表!$A:D,4,FALSE),0)+IFERROR($I10*VLOOKUP($H10,食材表!$A:D,4,FALSE),0)+IFERROR($K8*VLOOKUP($J8,食材表!$A:D,4,FALSE),0)+IFERROR($K9*VLOOKUP($J9,食材表!$A:D,4,FALSE),0)+IFERROR($K10*VLOOKUP($J10,食材表!$A:D,4,FALSE),0)</f>
        <v>0.72800000000000009</v>
      </c>
      <c r="N8" s="345">
        <f>IFERROR($I8*VLOOKUP($H8,食材表!$A:E,5,FALSE),0)+IFERROR($I9*VLOOKUP($H9,食材表!$A:E,5,FALSE),0)+IFERROR($I10*VLOOKUP($H10,食材表!$A:E,5,FALSE),0)+IFERROR($K8*VLOOKUP($J8,食材表!$A:E,5,FALSE),0)+IFERROR($K9*VLOOKUP($J9,食材表!$A:E,5,FALSE),0)+IFERROR($K10*VLOOKUP($J10,食材表!$A:E,5,FALSE),0)</f>
        <v>0</v>
      </c>
      <c r="O8" s="345">
        <f>IFERROR($I8*VLOOKUP($H8,食材表!$A:F,6,FALSE),0)+IFERROR($I9*VLOOKUP($H9,食材表!$A:F,6,FALSE),0)+IFERROR($I10*VLOOKUP($H10,食材表!$A:F,6,FALSE),0)+IFERROR($K8*VLOOKUP($J8,食材表!$A:F,6,FALSE),0)+IFERROR($K9*VLOOKUP($J9,食材表!$A:F,6,FALSE),0)+IFERROR($K10*VLOOKUP($J10,食材表!$A:F,6,FALSE),0)</f>
        <v>0</v>
      </c>
      <c r="P8" s="345">
        <f>IFERROR($I8*VLOOKUP($H8,食材表!$A:G,7,FALSE),0)+IFERROR($I9*VLOOKUP($H9,食材表!$A:G,7,FALSE),0)+IFERROR($I10*VLOOKUP($H10,食材表!$A:G,7,FALSE),0)+IFERROR($K8*VLOOKUP($J8,食材表!$A:G,7,FALSE),0)+IFERROR($K9*VLOOKUP($J9,食材表!$A:G,7,FALSE),0)+IFERROR($K10*VLOOKUP($J10,食材表!$A:G,7,FALSE),0)</f>
        <v>0</v>
      </c>
      <c r="Q8" s="345">
        <f>IFERROR($I8*VLOOKUP($H8,食材表!$A:H,8,FALSE),0)+IFERROR($I9*VLOOKUP($H9,食材表!$A:H,8,FALSE),0)+IFERROR($I10*VLOOKUP($H10,食材表!$A:H,8,FALSE),0)+IFERROR($K8*VLOOKUP($J8,食材表!$A:H,8,FALSE),0)+IFERROR($K9*VLOOKUP($J9,食材表!$A:H,8,FALSE),0)+IFERROR($K10*VLOOKUP($J10,食材表!$A:H,8,FALSE),0)</f>
        <v>0</v>
      </c>
      <c r="R8" s="345">
        <f>IFERROR($I8*VLOOKUP($H8,食材表!$A:I,9,FALSE),0)+IFERROR($I9*VLOOKUP($H9,食材表!$A:I,9,FALSE),0)+IFERROR($I10*VLOOKUP($H10,食材表!$A:I,9,FALSE),0)+IFERROR($K8*VLOOKUP($J8,食材表!$A:I,9,FALSE),0)+IFERROR($K9*VLOOKUP($J9,食材表!$A:I,9,FALSE),0)+IFERROR($K10*VLOOKUP($J10,食材表!$A:I,9,FALSE),0)</f>
        <v>0</v>
      </c>
      <c r="S8" s="345">
        <f>SUM(L8*70+M8*75+N8*120+O8*25+P8*60+Q8*45+R8*4)</f>
        <v>54.600000000000009</v>
      </c>
    </row>
    <row r="9" spans="1:21">
      <c r="A9" s="33" t="str">
        <f>"2"&amp;+$B8</f>
        <v>2豆漿</v>
      </c>
      <c r="B9" s="350"/>
      <c r="C9" s="356"/>
      <c r="D9" s="31"/>
      <c r="E9" s="22"/>
      <c r="F9" s="36"/>
      <c r="G9" s="353"/>
      <c r="H9" s="93">
        <f t="shared" ref="H9:H10" si="4">C9</f>
        <v>0</v>
      </c>
      <c r="I9" s="84"/>
      <c r="J9" s="93">
        <f t="shared" ref="J9:J10" si="5">E9</f>
        <v>0</v>
      </c>
      <c r="K9" s="86" t="str">
        <f>IFERROR(IF(LEN(F9)=LENB(F9),ROUND(LEFT(F9,2*LEN(F9)-LENB(F9))/$A$1,3),((ROUND(LEFT(F9,2*LEN(F9)-LENB(F9))/$A$1,3))*VLOOKUP(J9,食材表!$A:$B,2,FALSE))),"")</f>
        <v/>
      </c>
      <c r="L9" s="345"/>
      <c r="M9" s="345"/>
      <c r="N9" s="345"/>
      <c r="O9" s="345"/>
      <c r="P9" s="345"/>
      <c r="Q9" s="345"/>
      <c r="R9" s="345"/>
      <c r="S9" s="345"/>
    </row>
    <row r="10" spans="1:21">
      <c r="A10" s="33" t="str">
        <f>"3"&amp;+$B8</f>
        <v>3豆漿</v>
      </c>
      <c r="B10" s="351"/>
      <c r="C10" s="357"/>
      <c r="D10" s="42"/>
      <c r="E10" s="26"/>
      <c r="F10" s="37"/>
      <c r="G10" s="354"/>
      <c r="H10" s="92">
        <f t="shared" si="4"/>
        <v>0</v>
      </c>
      <c r="I10" s="84" t="str">
        <f>IFERROR(IF(LEN(D10)=LENB(D10),ROUND(LEFT(D10,2*LEN(D10)-LENB(D10))/$A$1,3),((ROUND(LEFT(D10,2*LEN(D10)-LENB(D10))/$A$1,3))*VLOOKUP(H10,食材表!$A:$B,2,FALSE))),"")</f>
        <v/>
      </c>
      <c r="J10" s="92">
        <f t="shared" si="5"/>
        <v>0</v>
      </c>
      <c r="K10" s="85" t="str">
        <f>IFERROR(IF(LEN(F10)=LENB(F10),ROUND(LEFT(F10,2*LEN(F10)-LENB(F10))/$A$1,3),((ROUND(LEFT(F10,2*LEN(F10)-LENB(F10))/$A$1,3))*VLOOKUP(J10,食材表!$A:$B,2,FALSE))),"")</f>
        <v/>
      </c>
      <c r="L10" s="345"/>
      <c r="M10" s="345"/>
      <c r="N10" s="345"/>
      <c r="O10" s="345"/>
      <c r="P10" s="345"/>
      <c r="Q10" s="345"/>
      <c r="R10" s="345"/>
      <c r="S10" s="345"/>
    </row>
    <row r="11" spans="1:21">
      <c r="A11" s="33" t="str">
        <f>"1"&amp;+$B11</f>
        <v>1鮮奶</v>
      </c>
      <c r="B11" s="349" t="s">
        <v>140</v>
      </c>
      <c r="C11" s="355" t="s">
        <v>140</v>
      </c>
      <c r="D11" s="60" t="s">
        <v>957</v>
      </c>
      <c r="E11" s="60"/>
      <c r="F11" s="36"/>
      <c r="G11" s="352" t="str">
        <f>B11</f>
        <v>鮮奶</v>
      </c>
      <c r="H11" s="91" t="str">
        <f>C11</f>
        <v>鮮奶</v>
      </c>
      <c r="I11" s="83">
        <f>(2*IFERROR(MID(D11,FIND("2L*",D11)+3,1),0)+1*IFERROR(MID(D11,FIND("1L*",D11)+3,2),0))/$A$1</f>
        <v>0.14000000000000001</v>
      </c>
      <c r="J11" s="91">
        <f>E11</f>
        <v>0</v>
      </c>
      <c r="K11" s="83" t="str">
        <f>IFERROR(IF(LEN(F11)=LENB(F11),ROUND(LEFT(F11,2*LEN(F11)-LENB(F11))/$A$1,3),((ROUND(LEFT(F11,2*LEN(F11)-LENB(F11))/$A$1,3))*VLOOKUP(J11,食材表!$A:$B,2,FALSE))),"")</f>
        <v/>
      </c>
      <c r="L11" s="345">
        <f>IFERROR($I11*VLOOKUP($H11,食材表!$A:C,3,FALSE),0)+IFERROR($I12*VLOOKUP($H12,食材表!$A:C,3,FALSE),0)+IFERROR($I13*VLOOKUP($H13,食材表!$A:C,3,FALSE),0)+IFERROR($K11*VLOOKUP($J11,食材表!$A:C,3,FALSE),0)+IFERROR($K12*VLOOKUP($J12,食材表!$A:C,3,FALSE),0)+IFERROR($K13*VLOOKUP($J13,食材表!$A:C,3,FALSE),0)</f>
        <v>0</v>
      </c>
      <c r="M11" s="345">
        <f>IFERROR($I11*VLOOKUP($H11,食材表!$A:D,4,FALSE),0)+IFERROR($I12*VLOOKUP($H12,食材表!$A:D,4,FALSE),0)+IFERROR($I13*VLOOKUP($H13,食材表!$A:D,4,FALSE),0)+IFERROR($K11*VLOOKUP($J11,食材表!$A:D,4,FALSE),0)+IFERROR($K12*VLOOKUP($J12,食材表!$A:D,4,FALSE),0)+IFERROR($K13*VLOOKUP($J13,食材表!$A:D,4,FALSE),0)</f>
        <v>0</v>
      </c>
      <c r="N11" s="345">
        <f>IFERROR($I11*VLOOKUP($H11,食材表!$A:E,5,FALSE),0)+IFERROR($I12*VLOOKUP($H12,食材表!$A:E,5,FALSE),0)+IFERROR($I13*VLOOKUP($H13,食材表!$A:E,5,FALSE),0)+IFERROR($K11*VLOOKUP($J11,食材表!$A:E,5,FALSE),0)+IFERROR($K12*VLOOKUP($J12,食材表!$A:E,5,FALSE),0)+IFERROR($K13*VLOOKUP($J13,食材表!$A:E,5,FALSE),0)</f>
        <v>0.58800000000000008</v>
      </c>
      <c r="O11" s="345">
        <f>IFERROR($I11*VLOOKUP($H11,食材表!$A:F,6,FALSE),0)+IFERROR($I12*VLOOKUP($H12,食材表!$A:F,6,FALSE),0)+IFERROR($I13*VLOOKUP($H13,食材表!$A:F,6,FALSE),0)+IFERROR($K11*VLOOKUP($J11,食材表!$A:F,6,FALSE),0)+IFERROR($K12*VLOOKUP($J12,食材表!$A:F,6,FALSE),0)+IFERROR($K13*VLOOKUP($J13,食材表!$A:F,6,FALSE),0)</f>
        <v>0</v>
      </c>
      <c r="P11" s="345">
        <f>IFERROR($I11*VLOOKUP($H11,食材表!$A:G,7,FALSE),0)+IFERROR($I12*VLOOKUP($H12,食材表!$A:G,7,FALSE),0)+IFERROR($I13*VLOOKUP($H13,食材表!$A:G,7,FALSE),0)+IFERROR($K11*VLOOKUP($J11,食材表!$A:G,7,FALSE),0)+IFERROR($K12*VLOOKUP($J12,食材表!$A:G,7,FALSE),0)+IFERROR($K13*VLOOKUP($J13,食材表!$A:G,7,FALSE),0)</f>
        <v>0</v>
      </c>
      <c r="Q11" s="345">
        <f>IFERROR($I11*VLOOKUP($H11,食材表!$A:H,8,FALSE),0)+IFERROR($I12*VLOOKUP($H12,食材表!$A:H,8,FALSE),0)+IFERROR($I13*VLOOKUP($H13,食材表!$A:H,8,FALSE),0)+IFERROR($K11*VLOOKUP($J11,食材表!$A:H,8,FALSE),0)+IFERROR($K12*VLOOKUP($J12,食材表!$A:H,8,FALSE),0)+IFERROR($K13*VLOOKUP($J13,食材表!$A:H,8,FALSE),0)</f>
        <v>0</v>
      </c>
      <c r="R11" s="345">
        <f>IFERROR($I11*VLOOKUP($H11,食材表!$A:I,9,FALSE),0)+IFERROR($I12*VLOOKUP($H12,食材表!$A:I,9,FALSE),0)+IFERROR($I13*VLOOKUP($H13,食材表!$A:I,9,FALSE),0)+IFERROR($K11*VLOOKUP($J11,食材表!$A:I,9,FALSE),0)+IFERROR($K12*VLOOKUP($J12,食材表!$A:I,9,FALSE),0)+IFERROR($K13*VLOOKUP($J13,食材表!$A:I,9,FALSE),0)</f>
        <v>0</v>
      </c>
      <c r="S11" s="345">
        <f>SUM(L11*70+M11*75+N11*120+O11*25+P11*60+Q11*45+R11*4)</f>
        <v>70.56</v>
      </c>
    </row>
    <row r="12" spans="1:21">
      <c r="A12" s="33" t="str">
        <f>"2"&amp;+$B11</f>
        <v>2鮮奶</v>
      </c>
      <c r="B12" s="350"/>
      <c r="C12" s="356"/>
      <c r="D12" s="31"/>
      <c r="E12" s="22"/>
      <c r="F12" s="36"/>
      <c r="G12" s="353"/>
      <c r="H12" s="93">
        <f t="shared" ref="H12:H13" si="6">C12</f>
        <v>0</v>
      </c>
      <c r="I12" s="84"/>
      <c r="J12" s="93">
        <f t="shared" ref="J12:J13" si="7">E12</f>
        <v>0</v>
      </c>
      <c r="K12" s="86" t="str">
        <f>IFERROR(IF(LEN(F12)=LENB(F12),ROUND(LEFT(F12,2*LEN(F12)-LENB(F12))/$A$1,3),((ROUND(LEFT(F12,2*LEN(F12)-LENB(F12))/$A$1,3))*VLOOKUP(J12,食材表!$A:$B,2,FALSE))),"")</f>
        <v/>
      </c>
      <c r="L12" s="345"/>
      <c r="M12" s="345"/>
      <c r="N12" s="345"/>
      <c r="O12" s="345"/>
      <c r="P12" s="345"/>
      <c r="Q12" s="345"/>
      <c r="R12" s="345"/>
      <c r="S12" s="345"/>
    </row>
    <row r="13" spans="1:21">
      <c r="A13" s="33" t="str">
        <f>"3"&amp;+$B11</f>
        <v>3鮮奶</v>
      </c>
      <c r="B13" s="351"/>
      <c r="C13" s="357"/>
      <c r="D13" s="42"/>
      <c r="E13" s="26"/>
      <c r="F13" s="37"/>
      <c r="G13" s="354"/>
      <c r="H13" s="92">
        <f t="shared" si="6"/>
        <v>0</v>
      </c>
      <c r="I13" s="84" t="str">
        <f>IFERROR(IF(LEN(D13)=LENB(D13),ROUND(LEFT(D13,2*LEN(D13)-LENB(D13))/$A$1,3),((ROUND(LEFT(D13,2*LEN(D13)-LENB(D13))/$A$1,3))*VLOOKUP(H13,食材表!$A:$B,2,FALSE))),"")</f>
        <v/>
      </c>
      <c r="J13" s="92">
        <f t="shared" si="7"/>
        <v>0</v>
      </c>
      <c r="K13" s="85" t="str">
        <f>IFERROR(IF(LEN(F13)=LENB(F13),ROUND(LEFT(F13,2*LEN(F13)-LENB(F13))/$A$1,3),((ROUND(LEFT(F13,2*LEN(F13)-LENB(F13))/$A$1,3))*VLOOKUP(J13,食材表!$A:$B,2,FALSE))),"")</f>
        <v/>
      </c>
      <c r="L13" s="345"/>
      <c r="M13" s="345"/>
      <c r="N13" s="345"/>
      <c r="O13" s="345"/>
      <c r="P13" s="345"/>
      <c r="Q13" s="345"/>
      <c r="R13" s="345"/>
      <c r="S13" s="345"/>
    </row>
    <row r="14" spans="1:21">
      <c r="A14" s="33" t="str">
        <f>"1"&amp;+$B14</f>
        <v>1布丁</v>
      </c>
      <c r="B14" s="349" t="s">
        <v>1151</v>
      </c>
      <c r="C14" s="60" t="s">
        <v>1151</v>
      </c>
      <c r="D14" s="71" t="str">
        <f>$A$1+2&amp;+"個"</f>
        <v>52個</v>
      </c>
      <c r="E14" s="60"/>
      <c r="F14" s="36"/>
      <c r="G14" s="352" t="str">
        <f>B14</f>
        <v>布丁</v>
      </c>
      <c r="H14" s="91" t="str">
        <f>C14</f>
        <v>布丁</v>
      </c>
      <c r="I14" s="83" t="str">
        <f>IFERROR(IF(LEN(D14)=LENB(D14),ROUND(LEFT(D14,2*LEN(D14)-LENB(D14))/$A$1,3),((ROUND(LEFT(D14,2*LEN(D14)-LENB(D14))/$A$1,3))*VLOOKUP(H14,食材表!$A:$B,2,FALSE))),"")</f>
        <v/>
      </c>
      <c r="J14" s="91">
        <f>E14</f>
        <v>0</v>
      </c>
      <c r="K14" s="83" t="str">
        <f>IFERROR(IF(LEN(F14)=LENB(F14),ROUND(LEFT(F14,2*LEN(F14)-LENB(F14))/$A$1,3),((ROUND(LEFT(F14,2*LEN(F14)-LENB(F14))/$A$1,3))*VLOOKUP(J14,食材表!$A:$B,2,FALSE))),"")</f>
        <v/>
      </c>
      <c r="L14" s="345">
        <f>IFERROR($I14*VLOOKUP($H14,食材表!$A:C,3,FALSE),0)+IFERROR($I15*VLOOKUP($H15,食材表!$A:C,3,FALSE),0)+IFERROR($I16*VLOOKUP($H16,食材表!$A:C,3,FALSE),0)+IFERROR($K14*VLOOKUP($J14,食材表!$A:C,3,FALSE),0)+IFERROR($K15*VLOOKUP($J15,食材表!$A:C,3,FALSE),0)+IFERROR($K16*VLOOKUP($J16,食材表!$A:C,3,FALSE),0)</f>
        <v>0</v>
      </c>
      <c r="M14" s="345">
        <f>IFERROR($I14*VLOOKUP($H14,食材表!$A:D,4,FALSE),0)+IFERROR($I15*VLOOKUP($H15,食材表!$A:D,4,FALSE),0)+IFERROR($I16*VLOOKUP($H16,食材表!$A:D,4,FALSE),0)+IFERROR($K14*VLOOKUP($J14,食材表!$A:D,4,FALSE),0)+IFERROR($K15*VLOOKUP($J15,食材表!$A:D,4,FALSE),0)+IFERROR($K16*VLOOKUP($J16,食材表!$A:D,4,FALSE),0)</f>
        <v>0</v>
      </c>
      <c r="N14" s="345">
        <f>IFERROR($I14*VLOOKUP($H14,食材表!$A:E,5,FALSE),0)+IFERROR($I15*VLOOKUP($H15,食材表!$A:E,5,FALSE),0)+IFERROR($I16*VLOOKUP($H16,食材表!$A:E,5,FALSE),0)+IFERROR($K14*VLOOKUP($J14,食材表!$A:E,5,FALSE),0)+IFERROR($K15*VLOOKUP($J15,食材表!$A:E,5,FALSE),0)+IFERROR($K16*VLOOKUP($J16,食材表!$A:E,5,FALSE),0)</f>
        <v>0</v>
      </c>
      <c r="O14" s="345">
        <f>IFERROR($I14*VLOOKUP($H14,食材表!$A:F,6,FALSE),0)+IFERROR($I15*VLOOKUP($H15,食材表!$A:F,6,FALSE),0)+IFERROR($I16*VLOOKUP($H16,食材表!$A:F,6,FALSE),0)+IFERROR($K14*VLOOKUP($J14,食材表!$A:F,6,FALSE),0)+IFERROR($K15*VLOOKUP($J15,食材表!$A:F,6,FALSE),0)+IFERROR($K16*VLOOKUP($J16,食材表!$A:F,6,FALSE),0)</f>
        <v>0</v>
      </c>
      <c r="P14" s="345">
        <f>IFERROR($I14*VLOOKUP($H14,食材表!$A:G,7,FALSE),0)+IFERROR($I15*VLOOKUP($H15,食材表!$A:G,7,FALSE),0)+IFERROR($I16*VLOOKUP($H16,食材表!$A:G,7,FALSE),0)+IFERROR($K14*VLOOKUP($J14,食材表!$A:G,7,FALSE),0)+IFERROR($K15*VLOOKUP($J15,食材表!$A:G,7,FALSE),0)+IFERROR($K16*VLOOKUP($J16,食材表!$A:G,7,FALSE),0)</f>
        <v>0</v>
      </c>
      <c r="Q14" s="345">
        <f>IFERROR($I14*VLOOKUP($H14,食材表!$A:H,8,FALSE),0)+IFERROR($I15*VLOOKUP($H15,食材表!$A:H,8,FALSE),0)+IFERROR($I16*VLOOKUP($H16,食材表!$A:H,8,FALSE),0)+IFERROR($K14*VLOOKUP($J14,食材表!$A:H,8,FALSE),0)+IFERROR($K15*VLOOKUP($J15,食材表!$A:H,8,FALSE),0)+IFERROR($K16*VLOOKUP($J16,食材表!$A:H,8,FALSE),0)</f>
        <v>0</v>
      </c>
      <c r="R14" s="345">
        <f>IFERROR($I14*VLOOKUP($H14,食材表!$A:I,9,FALSE),0)+IFERROR($I15*VLOOKUP($H15,食材表!$A:I,9,FALSE),0)+IFERROR($I16*VLOOKUP($H16,食材表!$A:I,9,FALSE),0)+IFERROR($K14*VLOOKUP($J14,食材表!$A:I,9,FALSE),0)+IFERROR($K15*VLOOKUP($J15,食材表!$A:I,9,FALSE),0)+IFERROR($K16*VLOOKUP($J16,食材表!$A:I,9,FALSE),0)</f>
        <v>0</v>
      </c>
      <c r="S14" s="345">
        <f>SUM(L14*70+M14*75+N14*120+O14*25+P14*60+Q14*45+R14*4)</f>
        <v>0</v>
      </c>
    </row>
    <row r="15" spans="1:21">
      <c r="A15" s="33" t="str">
        <f>"2"&amp;+$B14</f>
        <v>2布丁</v>
      </c>
      <c r="B15" s="350"/>
      <c r="C15" s="22"/>
      <c r="D15" s="36"/>
      <c r="E15" s="22"/>
      <c r="F15" s="36"/>
      <c r="G15" s="353"/>
      <c r="H15" s="93">
        <f t="shared" ref="H15:H16" si="8">C15</f>
        <v>0</v>
      </c>
      <c r="I15" s="86" t="str">
        <f>IFERROR(IF(LEN(D15)=LENB(D15),ROUND(LEFT(D15,2*LEN(D15)-LENB(D15))/$A$1,3),((ROUND(LEFT(D15,2*LEN(D15)-LENB(D15))/$A$1,3))*VLOOKUP(H15,食材表!$A:$B,2,FALSE))),"")</f>
        <v/>
      </c>
      <c r="J15" s="93">
        <f t="shared" ref="J15:J16" si="9">E15</f>
        <v>0</v>
      </c>
      <c r="K15" s="86" t="str">
        <f>IFERROR(IF(LEN(F15)=LENB(F15),ROUND(LEFT(F15,2*LEN(F15)-LENB(F15))/$A$1,3),((ROUND(LEFT(F15,2*LEN(F15)-LENB(F15))/$A$1,3))*VLOOKUP(J15,食材表!$A:$B,2,FALSE))),"")</f>
        <v/>
      </c>
      <c r="L15" s="345"/>
      <c r="M15" s="345"/>
      <c r="N15" s="345"/>
      <c r="O15" s="345"/>
      <c r="P15" s="345"/>
      <c r="Q15" s="345"/>
      <c r="R15" s="345"/>
      <c r="S15" s="345"/>
    </row>
    <row r="16" spans="1:21">
      <c r="A16" s="33" t="str">
        <f>"3"&amp;+$B14</f>
        <v>3布丁</v>
      </c>
      <c r="B16" s="351"/>
      <c r="C16" s="26"/>
      <c r="D16" s="37"/>
      <c r="E16" s="26"/>
      <c r="F16" s="37"/>
      <c r="G16" s="354"/>
      <c r="H16" s="92">
        <f t="shared" si="8"/>
        <v>0</v>
      </c>
      <c r="I16" s="84" t="str">
        <f>IFERROR(IF(LEN(D16)=LENB(D16),ROUND(LEFT(D16,2*LEN(D16)-LENB(D16))/$A$1,3),((ROUND(LEFT(D16,2*LEN(D16)-LENB(D16))/$A$1,3))*VLOOKUP(H16,食材表!$A:$B,2,FALSE))),"")</f>
        <v/>
      </c>
      <c r="J16" s="92">
        <f t="shared" si="9"/>
        <v>0</v>
      </c>
      <c r="K16" s="85" t="str">
        <f>IFERROR(IF(LEN(F16)=LENB(F16),ROUND(LEFT(F16,2*LEN(F16)-LENB(F16))/$A$1,3),((ROUND(LEFT(F16,2*LEN(F16)-LENB(F16))/$A$1,3))*VLOOKUP(J16,食材表!$A:$B,2,FALSE))),"")</f>
        <v/>
      </c>
      <c r="L16" s="345"/>
      <c r="M16" s="345"/>
      <c r="N16" s="345"/>
      <c r="O16" s="345"/>
      <c r="P16" s="345"/>
      <c r="Q16" s="345"/>
      <c r="R16" s="345"/>
      <c r="S16" s="345"/>
    </row>
    <row r="17" spans="1:19">
      <c r="A17" s="33" t="str">
        <f>"1"&amp;+$B17</f>
        <v>1中華豆花</v>
      </c>
      <c r="B17" s="349" t="s">
        <v>149</v>
      </c>
      <c r="C17" s="60" t="s">
        <v>149</v>
      </c>
      <c r="D17" s="71" t="str">
        <f>$A$1+2&amp;+"個"</f>
        <v>52個</v>
      </c>
      <c r="E17" s="60"/>
      <c r="F17" s="36"/>
      <c r="G17" s="352" t="str">
        <f>B17</f>
        <v>中華豆花</v>
      </c>
      <c r="H17" s="91" t="str">
        <f>C17</f>
        <v>中華豆花</v>
      </c>
      <c r="I17" s="83">
        <f>IFERROR(IF(LEN(D17)=LENB(D17),ROUND(LEFT(D17,2*LEN(D17)-LENB(D17))/$A$1,3),((ROUND(LEFT(D17,2*LEN(D17)-LENB(D17))/$A$1,3))*VLOOKUP(H17,食材表!$A:$B,2,FALSE))),"")</f>
        <v>1.04</v>
      </c>
      <c r="J17" s="91">
        <f>E17</f>
        <v>0</v>
      </c>
      <c r="K17" s="83" t="str">
        <f>IFERROR(IF(LEN(F17)=LENB(F17),ROUND(LEFT(F17,2*LEN(F17)-LENB(F17))/$A$1,3),((ROUND(LEFT(F17,2*LEN(F17)-LENB(F17))/$A$1,3))*VLOOKUP(J17,食材表!$A:$B,2,FALSE))),"")</f>
        <v/>
      </c>
      <c r="L17" s="345">
        <f>IFERROR($I17*VLOOKUP($H17,食材表!$A:C,3,FALSE),0)+IFERROR($I18*VLOOKUP($H18,食材表!$A:C,3,FALSE),0)+IFERROR($I19*VLOOKUP($H19,食材表!$A:C,3,FALSE),0)+IFERROR($K17*VLOOKUP($J17,食材表!$A:C,3,FALSE),0)+IFERROR($K18*VLOOKUP($J18,食材表!$A:C,3,FALSE),0)+IFERROR($K19*VLOOKUP($J19,食材表!$A:C,3,FALSE),0)</f>
        <v>0</v>
      </c>
      <c r="M17" s="345">
        <f>IFERROR($I17*VLOOKUP($H17,食材表!$A:D,4,FALSE),0)+IFERROR($I18*VLOOKUP($H18,食材表!$A:D,4,FALSE),0)+IFERROR($I19*VLOOKUP($H19,食材表!$A:D,4,FALSE),0)+IFERROR($K17*VLOOKUP($J17,食材表!$A:D,4,FALSE),0)+IFERROR($K18*VLOOKUP($J18,食材表!$A:D,4,FALSE),0)+IFERROR($K19*VLOOKUP($J19,食材表!$A:D,4,FALSE),0)</f>
        <v>0.35360000000000003</v>
      </c>
      <c r="N17" s="345">
        <f>IFERROR($I17*VLOOKUP($H17,食材表!$A:E,5,FALSE),0)+IFERROR($I18*VLOOKUP($H18,食材表!$A:E,5,FALSE),0)+IFERROR($I19*VLOOKUP($H19,食材表!$A:E,5,FALSE),0)+IFERROR($K17*VLOOKUP($J17,食材表!$A:E,5,FALSE),0)+IFERROR($K18*VLOOKUP($J18,食材表!$A:E,5,FALSE),0)+IFERROR($K19*VLOOKUP($J19,食材表!$A:E,5,FALSE),0)</f>
        <v>0</v>
      </c>
      <c r="O17" s="345">
        <f>IFERROR($I17*VLOOKUP($H17,食材表!$A:F,6,FALSE),0)+IFERROR($I18*VLOOKUP($H18,食材表!$A:F,6,FALSE),0)+IFERROR($I19*VLOOKUP($H19,食材表!$A:F,6,FALSE),0)+IFERROR($K17*VLOOKUP($J17,食材表!$A:F,6,FALSE),0)+IFERROR($K18*VLOOKUP($J18,食材表!$A:F,6,FALSE),0)+IFERROR($K19*VLOOKUP($J19,食材表!$A:F,6,FALSE),0)</f>
        <v>0</v>
      </c>
      <c r="P17" s="345">
        <f>IFERROR($I17*VLOOKUP($H17,食材表!$A:G,7,FALSE),0)+IFERROR($I18*VLOOKUP($H18,食材表!$A:G,7,FALSE),0)+IFERROR($I19*VLOOKUP($H19,食材表!$A:G,7,FALSE),0)+IFERROR($K17*VLOOKUP($J17,食材表!$A:G,7,FALSE),0)+IFERROR($K18*VLOOKUP($J18,食材表!$A:G,7,FALSE),0)+IFERROR($K19*VLOOKUP($J19,食材表!$A:G,7,FALSE),0)</f>
        <v>0</v>
      </c>
      <c r="Q17" s="345">
        <f>IFERROR($I17*VLOOKUP($H17,食材表!$A:H,8,FALSE),0)+IFERROR($I18*VLOOKUP($H18,食材表!$A:H,8,FALSE),0)+IFERROR($I19*VLOOKUP($H19,食材表!$A:H,8,FALSE),0)+IFERROR($K17*VLOOKUP($J17,食材表!$A:H,8,FALSE),0)+IFERROR($K18*VLOOKUP($J18,食材表!$A:H,8,FALSE),0)+IFERROR($K19*VLOOKUP($J19,食材表!$A:H,8,FALSE),0)</f>
        <v>0</v>
      </c>
      <c r="R17" s="345">
        <f>IFERROR($I17*VLOOKUP($H17,食材表!$A:I,9,FALSE),0)+IFERROR($I18*VLOOKUP($H18,食材表!$A:I,9,FALSE),0)+IFERROR($I19*VLOOKUP($H19,食材表!$A:I,9,FALSE),0)+IFERROR($K17*VLOOKUP($J17,食材表!$A:I,9,FALSE),0)+IFERROR($K18*VLOOKUP($J18,食材表!$A:I,9,FALSE),0)+IFERROR($K19*VLOOKUP($J19,食材表!$A:I,9,FALSE),0)</f>
        <v>17.68</v>
      </c>
      <c r="S17" s="345">
        <f>SUM(L17*70+M17*75+N17*120+O17*25+P17*60+Q17*45+R17*4)</f>
        <v>97.240000000000009</v>
      </c>
    </row>
    <row r="18" spans="1:19">
      <c r="A18" s="33" t="str">
        <f>"2"&amp;+$B17</f>
        <v>2中華豆花</v>
      </c>
      <c r="B18" s="350"/>
      <c r="C18" s="22"/>
      <c r="D18" s="36"/>
      <c r="E18" s="22"/>
      <c r="F18" s="36"/>
      <c r="G18" s="353"/>
      <c r="H18" s="93">
        <f t="shared" ref="H18:H19" si="10">C18</f>
        <v>0</v>
      </c>
      <c r="I18" s="86" t="str">
        <f>IFERROR(IF(LEN(D18)=LENB(D18),ROUND(LEFT(D18,2*LEN(D18)-LENB(D18))/$A$1,3),((ROUND(LEFT(D18,2*LEN(D18)-LENB(D18))/$A$1,3))*VLOOKUP(H18,食材表!$A:$B,2,FALSE))),"")</f>
        <v/>
      </c>
      <c r="J18" s="93">
        <f t="shared" ref="J18:J19" si="11">E18</f>
        <v>0</v>
      </c>
      <c r="K18" s="86" t="str">
        <f>IFERROR(IF(LEN(F18)=LENB(F18),ROUND(LEFT(F18,2*LEN(F18)-LENB(F18))/$A$1,3),((ROUND(LEFT(F18,2*LEN(F18)-LENB(F18))/$A$1,3))*VLOOKUP(J18,食材表!$A:$B,2,FALSE))),"")</f>
        <v/>
      </c>
      <c r="L18" s="345"/>
      <c r="M18" s="345"/>
      <c r="N18" s="345"/>
      <c r="O18" s="345"/>
      <c r="P18" s="345"/>
      <c r="Q18" s="345"/>
      <c r="R18" s="345"/>
      <c r="S18" s="345"/>
    </row>
    <row r="19" spans="1:19">
      <c r="A19" s="33" t="str">
        <f>"3"&amp;+$B17</f>
        <v>3中華豆花</v>
      </c>
      <c r="B19" s="351"/>
      <c r="C19" s="26"/>
      <c r="D19" s="37"/>
      <c r="E19" s="26"/>
      <c r="F19" s="37"/>
      <c r="G19" s="354"/>
      <c r="H19" s="92">
        <f t="shared" si="10"/>
        <v>0</v>
      </c>
      <c r="I19" s="84" t="str">
        <f>IFERROR(IF(LEN(D19)=LENB(D19),ROUND(LEFT(D19,2*LEN(D19)-LENB(D19))/$A$1,3),((ROUND(LEFT(D19,2*LEN(D19)-LENB(D19))/$A$1,3))*VLOOKUP(H19,食材表!$A:$B,2,FALSE))),"")</f>
        <v/>
      </c>
      <c r="J19" s="92">
        <f t="shared" si="11"/>
        <v>0</v>
      </c>
      <c r="K19" s="85" t="str">
        <f>IFERROR(IF(LEN(F19)=LENB(F19),ROUND(LEFT(F19,2*LEN(F19)-LENB(F19))/$A$1,3),((ROUND(LEFT(F19,2*LEN(F19)-LENB(F19))/$A$1,3))*VLOOKUP(J19,食材表!$A:$B,2,FALSE))),"")</f>
        <v/>
      </c>
      <c r="L19" s="345"/>
      <c r="M19" s="345"/>
      <c r="N19" s="345"/>
      <c r="O19" s="345"/>
      <c r="P19" s="345"/>
      <c r="Q19" s="345"/>
      <c r="R19" s="345"/>
      <c r="S19" s="345"/>
    </row>
    <row r="20" spans="1:19">
      <c r="A20" s="33" t="str">
        <f>"1"&amp;+$B20</f>
        <v>1滷蛋</v>
      </c>
      <c r="B20" s="349" t="s">
        <v>373</v>
      </c>
      <c r="C20" s="60" t="s">
        <v>353</v>
      </c>
      <c r="D20" s="71" t="str">
        <f>$A$1+2&amp;+"個"</f>
        <v>52個</v>
      </c>
      <c r="E20" s="22"/>
      <c r="F20" s="36"/>
      <c r="G20" s="346" t="str">
        <f>B20</f>
        <v>滷蛋</v>
      </c>
      <c r="H20" s="91" t="str">
        <f>C20</f>
        <v>雞蛋</v>
      </c>
      <c r="I20" s="83">
        <f>IFERROR(IF(LEN(D20)=LENB(D20),ROUND(LEFT(D20,2*LEN(D20)-LENB(D20))/$A$1,3),((ROUND(LEFT(D20,2*LEN(D20)-LENB(D20))/$A$1,3))*VLOOKUP(H20,食材表!$A:$B,2,FALSE))),"")</f>
        <v>6.2399999999999997E-2</v>
      </c>
      <c r="J20" s="91">
        <f>E20</f>
        <v>0</v>
      </c>
      <c r="K20" s="83" t="str">
        <f>IFERROR(IF(LEN(F20)=LENB(F20),ROUND(LEFT(F20,2*LEN(F20)-LENB(F20))/$A$1,3),((ROUND(LEFT(F20,2*LEN(F20)-LENB(F20))/$A$1,3))*VLOOKUP(J20,食材表!$A:$B,2,FALSE))),"")</f>
        <v/>
      </c>
      <c r="L20" s="345">
        <f>IFERROR($I20*VLOOKUP($H20,食材表!$A:C,3,FALSE),0)+IFERROR($I21*VLOOKUP($H21,食材表!$A:C,3,FALSE),0)+IFERROR($I22*VLOOKUP($H22,食材表!$A:C,3,FALSE),0)+IFERROR($K20*VLOOKUP($J20,食材表!$A:C,3,FALSE),0)+IFERROR($K21*VLOOKUP($J21,食材表!$A:C,3,FALSE),0)+IFERROR($K22*VLOOKUP($J22,食材表!$A:C,3,FALSE),0)</f>
        <v>0</v>
      </c>
      <c r="M20" s="345">
        <f>IFERROR($I20*VLOOKUP($H20,食材表!$A:D,4,FALSE),0)+IFERROR($I21*VLOOKUP($H21,食材表!$A:D,4,FALSE),0)+IFERROR($I22*VLOOKUP($H22,食材表!$A:D,4,FALSE),0)+IFERROR($K20*VLOOKUP($J20,食材表!$A:D,4,FALSE),0)+IFERROR($K21*VLOOKUP($J21,食材表!$A:D,4,FALSE),0)+IFERROR($K22*VLOOKUP($J22,食材表!$A:D,4,FALSE),0)</f>
        <v>0.96</v>
      </c>
      <c r="N20" s="345">
        <f>IFERROR($I20*VLOOKUP($H20,食材表!$A:E,5,FALSE),0)+IFERROR($I21*VLOOKUP($H21,食材表!$A:E,5,FALSE),0)+IFERROR($I22*VLOOKUP($H22,食材表!$A:E,5,FALSE),0)+IFERROR($K20*VLOOKUP($J20,食材表!$A:E,5,FALSE),0)+IFERROR($K21*VLOOKUP($J21,食材表!$A:E,5,FALSE),0)+IFERROR($K22*VLOOKUP($J22,食材表!$A:E,5,FALSE),0)</f>
        <v>0</v>
      </c>
      <c r="O20" s="345">
        <f>IFERROR($I20*VLOOKUP($H20,食材表!$A:F,6,FALSE),0)+IFERROR($I21*VLOOKUP($H21,食材表!$A:F,6,FALSE),0)+IFERROR($I22*VLOOKUP($H22,食材表!$A:F,6,FALSE),0)+IFERROR($K20*VLOOKUP($J20,食材表!$A:F,6,FALSE),0)+IFERROR($K21*VLOOKUP($J21,食材表!$A:F,6,FALSE),0)+IFERROR($K22*VLOOKUP($J22,食材表!$A:F,6,FALSE),0)</f>
        <v>0</v>
      </c>
      <c r="P20" s="345">
        <f>IFERROR($I20*VLOOKUP($H20,食材表!$A:G,7,FALSE),0)+IFERROR($I21*VLOOKUP($H21,食材表!$A:G,7,FALSE),0)+IFERROR($I22*VLOOKUP($H22,食材表!$A:G,7,FALSE),0)+IFERROR($K20*VLOOKUP($J20,食材表!$A:G,7,FALSE),0)+IFERROR($K21*VLOOKUP($J21,食材表!$A:G,7,FALSE),0)+IFERROR($K22*VLOOKUP($J22,食材表!$A:G,7,FALSE),0)</f>
        <v>0</v>
      </c>
      <c r="Q20" s="345">
        <f>IFERROR($I20*VLOOKUP($H20,食材表!$A:H,8,FALSE),0)+IFERROR($I21*VLOOKUP($H21,食材表!$A:H,8,FALSE),0)+IFERROR($I22*VLOOKUP($H22,食材表!$A:H,8,FALSE),0)+IFERROR($K20*VLOOKUP($J20,食材表!$A:H,8,FALSE),0)+IFERROR($K21*VLOOKUP($J21,食材表!$A:H,8,FALSE),0)+IFERROR($K22*VLOOKUP($J22,食材表!$A:H,8,FALSE),0)</f>
        <v>0</v>
      </c>
      <c r="R20" s="345">
        <f>IFERROR($I20*VLOOKUP($H20,食材表!$A:I,9,FALSE),0)+IFERROR($I21*VLOOKUP($H21,食材表!$A:I,9,FALSE),0)+IFERROR($I22*VLOOKUP($H22,食材表!$A:I,9,FALSE),0)+IFERROR($K20*VLOOKUP($J20,食材表!$A:I,9,FALSE),0)+IFERROR($K21*VLOOKUP($J21,食材表!$A:I,9,FALSE),0)+IFERROR($K22*VLOOKUP($J22,食材表!$A:I,9,FALSE),0)</f>
        <v>0</v>
      </c>
      <c r="S20" s="345">
        <f>SUM(L20*70+M20*75+N20*120+O20*25+P20*60+Q20*45+R20*4)</f>
        <v>72</v>
      </c>
    </row>
    <row r="21" spans="1:19">
      <c r="A21" s="33" t="str">
        <f>"2"&amp;+$B20</f>
        <v>2滷蛋</v>
      </c>
      <c r="B21" s="350"/>
      <c r="C21" s="22" t="s">
        <v>374</v>
      </c>
      <c r="D21" s="41" t="s">
        <v>375</v>
      </c>
      <c r="E21" s="38"/>
      <c r="F21" s="36"/>
      <c r="G21" s="347"/>
      <c r="H21" s="93" t="str">
        <f t="shared" ref="H21:H22" si="12">C21</f>
        <v>滷包</v>
      </c>
      <c r="I21" s="86" t="str">
        <f>IFERROR(IF(LEN(D21)=LENB(D21),ROUND(LEFT(D21,2*LEN(D21)-LENB(D21))/$A$1,3),((ROUND(LEFT(D21,2*LEN(D21)-LENB(D21))/$A$1,3))*VLOOKUP(H21,食材表!$A:$B,2,FALSE))),"")</f>
        <v/>
      </c>
      <c r="J21" s="93">
        <f t="shared" ref="J21:J22" si="13">E21</f>
        <v>0</v>
      </c>
      <c r="K21" s="86" t="str">
        <f>IFERROR(IF(LEN(F21)=LENB(F21),ROUND(LEFT(F21,2*LEN(F21)-LENB(F21))/$A$1,3),((ROUND(LEFT(F21,2*LEN(F21)-LENB(F21))/$A$1,3))*VLOOKUP(J21,食材表!$A:$B,2,FALSE))),"")</f>
        <v/>
      </c>
      <c r="L21" s="345"/>
      <c r="M21" s="345"/>
      <c r="N21" s="345"/>
      <c r="O21" s="345"/>
      <c r="P21" s="345"/>
      <c r="Q21" s="345"/>
      <c r="R21" s="345"/>
      <c r="S21" s="345"/>
    </row>
    <row r="22" spans="1:19">
      <c r="A22" s="33" t="str">
        <f>"3"&amp;+$B20</f>
        <v>3滷蛋</v>
      </c>
      <c r="B22" s="351"/>
      <c r="C22" s="26"/>
      <c r="D22" s="37"/>
      <c r="E22" s="26"/>
      <c r="F22" s="37"/>
      <c r="G22" s="348"/>
      <c r="H22" s="92">
        <f t="shared" si="12"/>
        <v>0</v>
      </c>
      <c r="I22" s="84" t="str">
        <f>IFERROR(IF(LEN(D22)=LENB(D22),ROUND(LEFT(D22,2*LEN(D22)-LENB(D22))/$A$1,3),((ROUND(LEFT(D22,2*LEN(D22)-LENB(D22))/$A$1,3))*VLOOKUP(H22,食材表!$A:$B,2,FALSE))),"")</f>
        <v/>
      </c>
      <c r="J22" s="92">
        <f t="shared" si="13"/>
        <v>0</v>
      </c>
      <c r="K22" s="85" t="str">
        <f>IFERROR(IF(LEN(F22)=LENB(F22),ROUND(LEFT(F22,2*LEN(F22)-LENB(F22))/$A$1,3),((ROUND(LEFT(F22,2*LEN(F22)-LENB(F22))/$A$1,3))*VLOOKUP(J22,食材表!$A:$B,2,FALSE))),"")</f>
        <v/>
      </c>
      <c r="L22" s="345"/>
      <c r="M22" s="345"/>
      <c r="N22" s="345"/>
      <c r="O22" s="345"/>
      <c r="P22" s="345"/>
      <c r="Q22" s="345"/>
      <c r="R22" s="345"/>
      <c r="S22" s="345"/>
    </row>
    <row r="23" spans="1:19">
      <c r="A23" s="33" t="str">
        <f>"1"&amp;+$B23</f>
        <v>1茶葉蛋+米漿</v>
      </c>
      <c r="B23" s="349" t="s">
        <v>455</v>
      </c>
      <c r="C23" s="60" t="s">
        <v>68</v>
      </c>
      <c r="D23" s="71" t="str">
        <f>$A$1+2&amp;+"個"</f>
        <v>52個</v>
      </c>
      <c r="E23" s="22"/>
      <c r="F23" s="36"/>
      <c r="G23" s="346" t="str">
        <f>B23</f>
        <v>茶葉蛋+米漿</v>
      </c>
      <c r="H23" s="91" t="str">
        <f>C23</f>
        <v>雞蛋</v>
      </c>
      <c r="I23" s="83">
        <f>IFERROR(IF(LEN(D23)=LENB(D23),ROUND(LEFT(D23,2*LEN(D23)-LENB(D23))/$A$1,3),((ROUND(LEFT(D23,2*LEN(D23)-LENB(D23))/$A$1,3))*VLOOKUP(H23,食材表!$A:$B,2,FALSE))),"")</f>
        <v>6.2399999999999997E-2</v>
      </c>
      <c r="J23" s="91">
        <f>E23</f>
        <v>0</v>
      </c>
      <c r="K23" s="83" t="str">
        <f>IFERROR(IF(LEN(F23)=LENB(F23),ROUND(LEFT(F23,2*LEN(F23)-LENB(F23))/$A$1,3),((ROUND(LEFT(F23,2*LEN(F23)-LENB(F23))/$A$1,3))*VLOOKUP(J23,食材表!$A:$B,2,FALSE))),"")</f>
        <v/>
      </c>
      <c r="L23" s="345">
        <f>IFERROR($I23*VLOOKUP($H23,食材表!$A:C,3,FALSE),0)+IFERROR($I24*VLOOKUP($H24,食材表!$A:C,3,FALSE),0)+IFERROR($I25*VLOOKUP($H25,食材表!$A:C,3,FALSE),0)+IFERROR($K23*VLOOKUP($J23,食材表!$A:C,3,FALSE),0)+IFERROR($K24*VLOOKUP($J24,食材表!$A:C,3,FALSE),0)+IFERROR($K25*VLOOKUP($J25,食材表!$A:C,3,FALSE),0)</f>
        <v>0</v>
      </c>
      <c r="M23" s="345">
        <f>IFERROR($I23*VLOOKUP($H23,食材表!$A:D,4,FALSE),0)+IFERROR($I24*VLOOKUP($H24,食材表!$A:D,4,FALSE),0)+IFERROR($I25*VLOOKUP($H25,食材表!$A:D,4,FALSE),0)+IFERROR($K23*VLOOKUP($J23,食材表!$A:D,4,FALSE),0)+IFERROR($K24*VLOOKUP($J24,食材表!$A:D,4,FALSE),0)+IFERROR($K25*VLOOKUP($J25,食材表!$A:D,4,FALSE),0)</f>
        <v>0.96</v>
      </c>
      <c r="N23" s="345">
        <f>IFERROR($I23*VLOOKUP($H23,食材表!$A:E,5,FALSE),0)+IFERROR($I24*VLOOKUP($H24,食材表!$A:E,5,FALSE),0)+IFERROR($I25*VLOOKUP($H25,食材表!$A:E,5,FALSE),0)+IFERROR($K23*VLOOKUP($J23,食材表!$A:E,5,FALSE),0)+IFERROR($K24*VLOOKUP($J24,食材表!$A:E,5,FALSE),0)+IFERROR($K25*VLOOKUP($J25,食材表!$A:E,5,FALSE),0)</f>
        <v>0</v>
      </c>
      <c r="O23" s="345">
        <f>IFERROR($I23*VLOOKUP($H23,食材表!$A:F,6,FALSE),0)+IFERROR($I24*VLOOKUP($H24,食材表!$A:F,6,FALSE),0)+IFERROR($I25*VLOOKUP($H25,食材表!$A:F,6,FALSE),0)+IFERROR($K23*VLOOKUP($J23,食材表!$A:F,6,FALSE),0)+IFERROR($K24*VLOOKUP($J24,食材表!$A:F,6,FALSE),0)+IFERROR($K25*VLOOKUP($J25,食材表!$A:F,6,FALSE),0)</f>
        <v>0</v>
      </c>
      <c r="P23" s="345">
        <f>IFERROR($I23*VLOOKUP($H23,食材表!$A:G,7,FALSE),0)+IFERROR($I24*VLOOKUP($H24,食材表!$A:G,7,FALSE),0)+IFERROR($I25*VLOOKUP($H25,食材表!$A:G,7,FALSE),0)+IFERROR($K23*VLOOKUP($J23,食材表!$A:G,7,FALSE),0)+IFERROR($K24*VLOOKUP($J24,食材表!$A:G,7,FALSE),0)+IFERROR($K25*VLOOKUP($J25,食材表!$A:G,7,FALSE),0)</f>
        <v>0</v>
      </c>
      <c r="Q23" s="345">
        <f>IFERROR($I23*VLOOKUP($H23,食材表!$A:H,8,FALSE),0)+IFERROR($I24*VLOOKUP($H24,食材表!$A:H,8,FALSE),0)+IFERROR($I25*VLOOKUP($H25,食材表!$A:H,8,FALSE),0)+IFERROR($K23*VLOOKUP($J23,食材表!$A:H,8,FALSE),0)+IFERROR($K24*VLOOKUP($J24,食材表!$A:H,8,FALSE),0)+IFERROR($K25*VLOOKUP($J25,食材表!$A:H,8,FALSE),0)</f>
        <v>0</v>
      </c>
      <c r="R23" s="345">
        <f>IFERROR($I23*VLOOKUP($H23,食材表!$A:I,9,FALSE),0)+IFERROR($I24*VLOOKUP($H24,食材表!$A:I,9,FALSE),0)+IFERROR($I25*VLOOKUP($H25,食材表!$A:I,9,FALSE),0)+IFERROR($K23*VLOOKUP($J23,食材表!$A:I,9,FALSE),0)+IFERROR($K24*VLOOKUP($J24,食材表!$A:I,9,FALSE),0)+IFERROR($K25*VLOOKUP($J25,食材表!$A:I,9,FALSE),0)</f>
        <v>0</v>
      </c>
      <c r="S23" s="345">
        <f>SUM(L23*70+M23*75+N23*120+O23*25+P23*60+Q23*45+R23*4)</f>
        <v>72</v>
      </c>
    </row>
    <row r="24" spans="1:19">
      <c r="A24" s="33" t="str">
        <f>"2"&amp;+$B23</f>
        <v>2茶葉蛋+米漿</v>
      </c>
      <c r="B24" s="350"/>
      <c r="C24" s="22" t="s">
        <v>456</v>
      </c>
      <c r="D24" s="36" t="s">
        <v>419</v>
      </c>
      <c r="E24" s="38"/>
      <c r="F24" s="36"/>
      <c r="G24" s="347"/>
      <c r="H24" s="93" t="str">
        <f t="shared" ref="H24:H25" si="14">C24</f>
        <v>茶葉蛋滷包</v>
      </c>
      <c r="I24" s="86">
        <f>IFERROR(IF(LEN(D24)=LENB(D24),ROUND(LEFT(D24,2*LEN(D24)-LENB(D24))/$A$1,3),((ROUND(LEFT(D24,2*LEN(D24)-LENB(D24))/$A$1,3))*VLOOKUP(H24,食材表!$A:$B,2,FALSE))),"")</f>
        <v>6.0000000000000001E-3</v>
      </c>
      <c r="J24" s="93">
        <f t="shared" ref="J24:J25" si="15">E24</f>
        <v>0</v>
      </c>
      <c r="K24" s="86" t="str">
        <f>IFERROR(IF(LEN(F24)=LENB(F24),ROUND(LEFT(F24,2*LEN(F24)-LENB(F24))/$A$1,3),((ROUND(LEFT(F24,2*LEN(F24)-LENB(F24))/$A$1,3))*VLOOKUP(J24,食材表!$A:$B,2,FALSE))),"")</f>
        <v/>
      </c>
      <c r="L24" s="345"/>
      <c r="M24" s="345"/>
      <c r="N24" s="345"/>
      <c r="O24" s="345"/>
      <c r="P24" s="345"/>
      <c r="Q24" s="345"/>
      <c r="R24" s="345"/>
      <c r="S24" s="345"/>
    </row>
    <row r="25" spans="1:19">
      <c r="A25" s="33" t="str">
        <f>"3"&amp;+$B23</f>
        <v>3茶葉蛋+米漿</v>
      </c>
      <c r="B25" s="351"/>
      <c r="C25" s="26" t="s">
        <v>457</v>
      </c>
      <c r="D25" s="22" t="s">
        <v>401</v>
      </c>
      <c r="E25" s="23"/>
      <c r="F25" s="37"/>
      <c r="G25" s="348"/>
      <c r="H25" s="92" t="str">
        <f t="shared" si="14"/>
        <v>米漿</v>
      </c>
      <c r="I25" s="84">
        <f>(2*IFERROR(MID(D25,FIND("2L*",D25)+3,1),0)+1*IFERROR(MID(D25,FIND("1L*",D25)+3,2),0))/$A$1</f>
        <v>0.26</v>
      </c>
      <c r="J25" s="92">
        <f t="shared" si="15"/>
        <v>0</v>
      </c>
      <c r="K25" s="85" t="str">
        <f>IFERROR(IF(LEN(F25)=LENB(F25),ROUND(LEFT(F25,2*LEN(F25)-LENB(F25))/$A$1,3),((ROUND(LEFT(F25,2*LEN(F25)-LENB(F25))/$A$1,3))*VLOOKUP(J25,食材表!$A:$B,2,FALSE))),"")</f>
        <v/>
      </c>
      <c r="L25" s="345"/>
      <c r="M25" s="345"/>
      <c r="N25" s="345"/>
      <c r="O25" s="345"/>
      <c r="P25" s="345"/>
      <c r="Q25" s="345"/>
      <c r="R25" s="345"/>
      <c r="S25" s="345"/>
    </row>
    <row r="26" spans="1:19">
      <c r="A26" s="33" t="str">
        <f>"1"&amp;+$B26</f>
        <v>1蘿蔔糕</v>
      </c>
      <c r="B26" s="349" t="s">
        <v>120</v>
      </c>
      <c r="C26" s="60" t="s">
        <v>923</v>
      </c>
      <c r="D26" s="71" t="str">
        <f>$A$1+2&amp;+"片"</f>
        <v>52片</v>
      </c>
      <c r="E26" s="15"/>
      <c r="F26" s="59"/>
      <c r="G26" s="352" t="str">
        <f>B26</f>
        <v>蘿蔔糕</v>
      </c>
      <c r="H26" s="91" t="str">
        <f>C26</f>
        <v>蘿蔔糕(片)</v>
      </c>
      <c r="I26" s="83">
        <f>IFERROR(IF(LEN(D26)=LENB(D26),ROUND(LEFT(D26,2*LEN(D26)-LENB(D26))/$A$1,3),((ROUND(LEFT(D26,2*LEN(D26)-LENB(D26))/$A$1,3))*VLOOKUP(H26,食材表!$A:$B,2,FALSE))),"")</f>
        <v>1.04</v>
      </c>
      <c r="J26" s="91">
        <f>E26</f>
        <v>0</v>
      </c>
      <c r="K26" s="83" t="str">
        <f>IFERROR(IF(LEN(F26)=LENB(F26),ROUND(LEFT(F26,2*LEN(F26)-LENB(F26))/$A$1,3),((ROUND(LEFT(F26,2*LEN(F26)-LENB(F26))/$A$1,3))*VLOOKUP(J26,食材表!$A:$B,2,FALSE))),"")</f>
        <v/>
      </c>
      <c r="L26" s="345">
        <f>IFERROR($I26*VLOOKUP($H26,食材表!$A:C,3,FALSE),0)+IFERROR($I27*VLOOKUP($H27,食材表!$A:C,3,FALSE),0)+IFERROR($I28*VLOOKUP($H28,食材表!$A:C,3,FALSE),0)+IFERROR($K26*VLOOKUP($J26,食材表!$A:C,3,FALSE),0)+IFERROR($K27*VLOOKUP($J27,食材表!$A:C,3,FALSE),0)+IFERROR($K28*VLOOKUP($J28,食材表!$A:C,3,FALSE),0)</f>
        <v>2.08</v>
      </c>
      <c r="M26" s="345">
        <f>IFERROR($I26*VLOOKUP($H26,食材表!$A:D,4,FALSE),0)+IFERROR($I27*VLOOKUP($H27,食材表!$A:D,4,FALSE),0)+IFERROR($I28*VLOOKUP($H28,食材表!$A:D,4,FALSE),0)+IFERROR($K26*VLOOKUP($J26,食材表!$A:D,4,FALSE),0)+IFERROR($K27*VLOOKUP($J27,食材表!$A:D,4,FALSE),0)+IFERROR($K28*VLOOKUP($J28,食材表!$A:D,4,FALSE),0)</f>
        <v>0</v>
      </c>
      <c r="N26" s="345">
        <f>IFERROR($I26*VLOOKUP($H26,食材表!$A:E,5,FALSE),0)+IFERROR($I27*VLOOKUP($H27,食材表!$A:E,5,FALSE),0)+IFERROR($I28*VLOOKUP($H28,食材表!$A:E,5,FALSE),0)+IFERROR($K26*VLOOKUP($J26,食材表!$A:E,5,FALSE),0)+IFERROR($K27*VLOOKUP($J27,食材表!$A:E,5,FALSE),0)+IFERROR($K28*VLOOKUP($J28,食材表!$A:E,5,FALSE),0)</f>
        <v>0</v>
      </c>
      <c r="O26" s="345">
        <f>IFERROR($I26*VLOOKUP($H26,食材表!$A:F,6,FALSE),0)+IFERROR($I27*VLOOKUP($H27,食材表!$A:F,6,FALSE),0)+IFERROR($I28*VLOOKUP($H28,食材表!$A:F,6,FALSE),0)+IFERROR($K26*VLOOKUP($J26,食材表!$A:F,6,FALSE),0)+IFERROR($K27*VLOOKUP($J27,食材表!$A:F,6,FALSE),0)+IFERROR($K28*VLOOKUP($J28,食材表!$A:F,6,FALSE),0)</f>
        <v>0</v>
      </c>
      <c r="P26" s="345">
        <f>IFERROR($I26*VLOOKUP($H26,食材表!$A:G,7,FALSE),0)+IFERROR($I27*VLOOKUP($H27,食材表!$A:G,7,FALSE),0)+IFERROR($I28*VLOOKUP($H28,食材表!$A:G,7,FALSE),0)+IFERROR($K26*VLOOKUP($J26,食材表!$A:G,7,FALSE),0)+IFERROR($K27*VLOOKUP($J27,食材表!$A:G,7,FALSE),0)+IFERROR($K28*VLOOKUP($J28,食材表!$A:G,7,FALSE),0)</f>
        <v>0</v>
      </c>
      <c r="Q26" s="345">
        <f>IFERROR($I26*VLOOKUP($H26,食材表!$A:H,8,FALSE),0)+IFERROR($I27*VLOOKUP($H27,食材表!$A:H,8,FALSE),0)+IFERROR($I28*VLOOKUP($H28,食材表!$A:H,8,FALSE),0)+IFERROR($K26*VLOOKUP($J26,食材表!$A:H,8,FALSE),0)+IFERROR($K27*VLOOKUP($J27,食材表!$A:H,8,FALSE),0)+IFERROR($K28*VLOOKUP($J28,食材表!$A:H,8,FALSE),0)</f>
        <v>0</v>
      </c>
      <c r="R26" s="345">
        <f>IFERROR($I26*VLOOKUP($H26,食材表!$A:I,9,FALSE),0)+IFERROR($I27*VLOOKUP($H27,食材表!$A:I,9,FALSE),0)+IFERROR($I28*VLOOKUP($H28,食材表!$A:I,9,FALSE),0)+IFERROR($K26*VLOOKUP($J26,食材表!$A:I,9,FALSE),0)+IFERROR($K27*VLOOKUP($J27,食材表!$A:I,9,FALSE),0)+IFERROR($K28*VLOOKUP($J28,食材表!$A:I,9,FALSE),0)</f>
        <v>0</v>
      </c>
      <c r="S26" s="345">
        <f>SUM(L26*70+M26*75+N26*120+O26*25+P26*60+Q26*45+R26*4)</f>
        <v>145.6</v>
      </c>
    </row>
    <row r="27" spans="1:19">
      <c r="A27" s="33" t="str">
        <f>"2"&amp;+$B26</f>
        <v>2蘿蔔糕</v>
      </c>
      <c r="B27" s="350"/>
      <c r="C27" s="22"/>
      <c r="D27" s="36"/>
      <c r="E27" s="45"/>
      <c r="F27" s="36"/>
      <c r="G27" s="353"/>
      <c r="H27" s="93">
        <f t="shared" ref="H27:H28" si="16">C27</f>
        <v>0</v>
      </c>
      <c r="I27" s="86" t="str">
        <f>IFERROR(IF(LEN(D27)=LENB(D27),ROUND(LEFT(D27,2*LEN(D27)-LENB(D27))/$A$1,3),((ROUND(LEFT(D27,2*LEN(D27)-LENB(D27))/$A$1,3))*VLOOKUP(H27,食材表!$A:$B,2,FALSE))),"")</f>
        <v/>
      </c>
      <c r="J27" s="93">
        <f t="shared" ref="J27:J28" si="17">E27</f>
        <v>0</v>
      </c>
      <c r="K27" s="86" t="str">
        <f>IFERROR(IF(LEN(F27)=LENB(F27),ROUND(LEFT(F27,2*LEN(F27)-LENB(F27))/$A$1,3),((ROUND(LEFT(F27,2*LEN(F27)-LENB(F27))/$A$1,3))*VLOOKUP(J27,食材表!$A:$B,2,FALSE))),"")</f>
        <v/>
      </c>
      <c r="L27" s="345"/>
      <c r="M27" s="345"/>
      <c r="N27" s="345"/>
      <c r="O27" s="345"/>
      <c r="P27" s="345"/>
      <c r="Q27" s="345"/>
      <c r="R27" s="345"/>
      <c r="S27" s="345"/>
    </row>
    <row r="28" spans="1:19">
      <c r="A28" s="33" t="str">
        <f>"3"&amp;+$B26</f>
        <v>3蘿蔔糕</v>
      </c>
      <c r="B28" s="351"/>
      <c r="C28" s="26"/>
      <c r="D28" s="37"/>
      <c r="E28" s="14"/>
      <c r="F28" s="37"/>
      <c r="G28" s="354"/>
      <c r="H28" s="92">
        <f t="shared" si="16"/>
        <v>0</v>
      </c>
      <c r="I28" s="84" t="str">
        <f>IFERROR(IF(LEN(D28)=LENB(D28),ROUND(LEFT(D28,2*LEN(D28)-LENB(D28))/$A$1,3),((ROUND(LEFT(D28,2*LEN(D28)-LENB(D28))/$A$1,3))*VLOOKUP(H28,食材表!$A:$B,2,FALSE))),"")</f>
        <v/>
      </c>
      <c r="J28" s="92">
        <f t="shared" si="17"/>
        <v>0</v>
      </c>
      <c r="K28" s="85" t="str">
        <f>IFERROR(IF(LEN(F28)=LENB(F28),ROUND(LEFT(F28,2*LEN(F28)-LENB(F28))/$A$1,3),((ROUND(LEFT(F28,2*LEN(F28)-LENB(F28))/$A$1,3))*VLOOKUP(J28,食材表!$A:$B,2,FALSE))),"")</f>
        <v/>
      </c>
      <c r="L28" s="345"/>
      <c r="M28" s="345"/>
      <c r="N28" s="345"/>
      <c r="O28" s="345"/>
      <c r="P28" s="345"/>
      <c r="Q28" s="345"/>
      <c r="R28" s="345"/>
      <c r="S28" s="345"/>
    </row>
    <row r="29" spans="1:19">
      <c r="A29" s="33" t="str">
        <f>"1"&amp;+$B29</f>
        <v>1香煎蘿蔔糕</v>
      </c>
      <c r="B29" s="349" t="s">
        <v>453</v>
      </c>
      <c r="C29" s="60" t="s">
        <v>923</v>
      </c>
      <c r="D29" s="71" t="str">
        <f>$A$1+2&amp;+"片"</f>
        <v>52片</v>
      </c>
      <c r="E29" s="15"/>
      <c r="F29" s="59"/>
      <c r="G29" s="352" t="str">
        <f>B29</f>
        <v>香煎蘿蔔糕</v>
      </c>
      <c r="H29" s="91" t="str">
        <f>C29</f>
        <v>蘿蔔糕(片)</v>
      </c>
      <c r="I29" s="83">
        <f>IFERROR(IF(LEN(D29)=LENB(D29),ROUND(LEFT(D29,2*LEN(D29)-LENB(D29))/$A$1,3),((ROUND(LEFT(D29,2*LEN(D29)-LENB(D29))/$A$1,3))*VLOOKUP(H29,食材表!$A:$B,2,FALSE))),"")</f>
        <v>1.04</v>
      </c>
      <c r="J29" s="91">
        <f>E29</f>
        <v>0</v>
      </c>
      <c r="K29" s="83" t="str">
        <f>IFERROR(IF(LEN(F29)=LENB(F29),ROUND(LEFT(F29,2*LEN(F29)-LENB(F29))/$A$1,3),((ROUND(LEFT(F29,2*LEN(F29)-LENB(F29))/$A$1,3))*VLOOKUP(J29,食材表!$A:$B,2,FALSE))),"")</f>
        <v/>
      </c>
      <c r="L29" s="345">
        <f>IFERROR($I29*VLOOKUP($H29,食材表!$A:C,3,FALSE),0)+IFERROR($I30*VLOOKUP($H30,食材表!$A:C,3,FALSE),0)+IFERROR($I31*VLOOKUP($H31,食材表!$A:C,3,FALSE),0)+IFERROR($K29*VLOOKUP($J29,食材表!$A:C,3,FALSE),0)+IFERROR($K30*VLOOKUP($J30,食材表!$A:C,3,FALSE),0)+IFERROR($K31*VLOOKUP($J31,食材表!$A:C,3,FALSE),0)</f>
        <v>2.08</v>
      </c>
      <c r="M29" s="345">
        <f>IFERROR($I29*VLOOKUP($H29,食材表!$A:D,4,FALSE),0)+IFERROR($I30*VLOOKUP($H30,食材表!$A:D,4,FALSE),0)+IFERROR($I31*VLOOKUP($H31,食材表!$A:D,4,FALSE),0)+IFERROR($K29*VLOOKUP($J29,食材表!$A:D,4,FALSE),0)+IFERROR($K30*VLOOKUP($J30,食材表!$A:D,4,FALSE),0)+IFERROR($K31*VLOOKUP($J31,食材表!$A:D,4,FALSE),0)</f>
        <v>0</v>
      </c>
      <c r="N29" s="345">
        <f>IFERROR($I29*VLOOKUP($H29,食材表!$A:E,5,FALSE),0)+IFERROR($I30*VLOOKUP($H30,食材表!$A:E,5,FALSE),0)+IFERROR($I31*VLOOKUP($H31,食材表!$A:E,5,FALSE),0)+IFERROR($K29*VLOOKUP($J29,食材表!$A:E,5,FALSE),0)+IFERROR($K30*VLOOKUP($J30,食材表!$A:E,5,FALSE),0)+IFERROR($K31*VLOOKUP($J31,食材表!$A:E,5,FALSE),0)</f>
        <v>0</v>
      </c>
      <c r="O29" s="345">
        <f>IFERROR($I29*VLOOKUP($H29,食材表!$A:F,6,FALSE),0)+IFERROR($I30*VLOOKUP($H30,食材表!$A:F,6,FALSE),0)+IFERROR($I31*VLOOKUP($H31,食材表!$A:F,6,FALSE),0)+IFERROR($K29*VLOOKUP($J29,食材表!$A:F,6,FALSE),0)+IFERROR($K30*VLOOKUP($J30,食材表!$A:F,6,FALSE),0)+IFERROR($K31*VLOOKUP($J31,食材表!$A:F,6,FALSE),0)</f>
        <v>0</v>
      </c>
      <c r="P29" s="345">
        <f>IFERROR($I29*VLOOKUP($H29,食材表!$A:G,7,FALSE),0)+IFERROR($I30*VLOOKUP($H30,食材表!$A:G,7,FALSE),0)+IFERROR($I31*VLOOKUP($H31,食材表!$A:G,7,FALSE),0)+IFERROR($K29*VLOOKUP($J29,食材表!$A:G,7,FALSE),0)+IFERROR($K30*VLOOKUP($J30,食材表!$A:G,7,FALSE),0)+IFERROR($K31*VLOOKUP($J31,食材表!$A:G,7,FALSE),0)</f>
        <v>0</v>
      </c>
      <c r="Q29" s="345">
        <f>IFERROR($I29*VLOOKUP($H29,食材表!$A:H,8,FALSE),0)+IFERROR($I30*VLOOKUP($H30,食材表!$A:H,8,FALSE),0)+IFERROR($I31*VLOOKUP($H31,食材表!$A:H,8,FALSE),0)+IFERROR($K29*VLOOKUP($J29,食材表!$A:H,8,FALSE),0)+IFERROR($K30*VLOOKUP($J30,食材表!$A:H,8,FALSE),0)+IFERROR($K31*VLOOKUP($J31,食材表!$A:H,8,FALSE),0)</f>
        <v>0</v>
      </c>
      <c r="R29" s="345">
        <f>IFERROR($I29*VLOOKUP($H29,食材表!$A:I,9,FALSE),0)+IFERROR($I30*VLOOKUP($H30,食材表!$A:I,9,FALSE),0)+IFERROR($I31*VLOOKUP($H31,食材表!$A:I,9,FALSE),0)+IFERROR($K29*VLOOKUP($J29,食材表!$A:I,9,FALSE),0)+IFERROR($K30*VLOOKUP($J30,食材表!$A:I,9,FALSE),0)+IFERROR($K31*VLOOKUP($J31,食材表!$A:I,9,FALSE),0)</f>
        <v>0</v>
      </c>
      <c r="S29" s="345">
        <f>SUM(L29*70+M29*75+N29*120+O29*25+P29*60+Q29*45+R29*4)</f>
        <v>145.6</v>
      </c>
    </row>
    <row r="30" spans="1:19">
      <c r="A30" s="33" t="str">
        <f>"2"&amp;+$B29</f>
        <v>2香煎蘿蔔糕</v>
      </c>
      <c r="B30" s="350"/>
      <c r="C30" s="22"/>
      <c r="D30" s="36"/>
      <c r="E30" s="45"/>
      <c r="F30" s="36"/>
      <c r="G30" s="353"/>
      <c r="H30" s="93">
        <f t="shared" ref="H30:H31" si="18">C30</f>
        <v>0</v>
      </c>
      <c r="I30" s="86" t="str">
        <f>IFERROR(IF(LEN(D30)=LENB(D30),ROUND(LEFT(D30,2*LEN(D30)-LENB(D30))/$A$1,3),((ROUND(LEFT(D30,2*LEN(D30)-LENB(D30))/$A$1,3))*VLOOKUP(H30,食材表!$A:$B,2,FALSE))),"")</f>
        <v/>
      </c>
      <c r="J30" s="93">
        <f t="shared" ref="J30:J31" si="19">E30</f>
        <v>0</v>
      </c>
      <c r="K30" s="86" t="str">
        <f>IFERROR(IF(LEN(F30)=LENB(F30),ROUND(LEFT(F30,2*LEN(F30)-LENB(F30))/$A$1,3),((ROUND(LEFT(F30,2*LEN(F30)-LENB(F30))/$A$1,3))*VLOOKUP(J30,食材表!$A:$B,2,FALSE))),"")</f>
        <v/>
      </c>
      <c r="L30" s="345"/>
      <c r="M30" s="345"/>
      <c r="N30" s="345"/>
      <c r="O30" s="345"/>
      <c r="P30" s="345"/>
      <c r="Q30" s="345"/>
      <c r="R30" s="345"/>
      <c r="S30" s="345"/>
    </row>
    <row r="31" spans="1:19">
      <c r="A31" s="33" t="str">
        <f>"3"&amp;+$B29</f>
        <v>3香煎蘿蔔糕</v>
      </c>
      <c r="B31" s="351"/>
      <c r="C31" s="26"/>
      <c r="D31" s="37"/>
      <c r="E31" s="14"/>
      <c r="F31" s="37"/>
      <c r="G31" s="354"/>
      <c r="H31" s="92">
        <f t="shared" si="18"/>
        <v>0</v>
      </c>
      <c r="I31" s="84" t="str">
        <f>IFERROR(IF(LEN(D31)=LENB(D31),ROUND(LEFT(D31,2*LEN(D31)-LENB(D31))/$A$1,3),((ROUND(LEFT(D31,2*LEN(D31)-LENB(D31))/$A$1,3))*VLOOKUP(H31,食材表!$A:$B,2,FALSE))),"")</f>
        <v/>
      </c>
      <c r="J31" s="92">
        <f t="shared" si="19"/>
        <v>0</v>
      </c>
      <c r="K31" s="85" t="str">
        <f>IFERROR(IF(LEN(F31)=LENB(F31),ROUND(LEFT(F31,2*LEN(F31)-LENB(F31))/$A$1,3),((ROUND(LEFT(F31,2*LEN(F31)-LENB(F31))/$A$1,3))*VLOOKUP(J31,食材表!$A:$B,2,FALSE))),"")</f>
        <v/>
      </c>
      <c r="L31" s="345"/>
      <c r="M31" s="345"/>
      <c r="N31" s="345"/>
      <c r="O31" s="345"/>
      <c r="P31" s="345"/>
      <c r="Q31" s="345"/>
      <c r="R31" s="345"/>
      <c r="S31" s="345"/>
    </row>
    <row r="32" spans="1:19">
      <c r="A32" s="33" t="str">
        <f>"1"&amp;+$B32</f>
        <v>1起司蛋餅</v>
      </c>
      <c r="B32" s="349" t="s">
        <v>146</v>
      </c>
      <c r="C32" s="60" t="s">
        <v>147</v>
      </c>
      <c r="D32" s="59" t="str">
        <f>ROUND(($A$1+2)/2,0)&amp;+"片"</f>
        <v>26片</v>
      </c>
      <c r="E32" s="60"/>
      <c r="F32" s="36"/>
      <c r="G32" s="352" t="str">
        <f>B32</f>
        <v>起司蛋餅</v>
      </c>
      <c r="H32" s="91" t="str">
        <f>C32</f>
        <v>蛋餅皮</v>
      </c>
      <c r="I32" s="83">
        <f>IFERROR(IF(LEN(D32)=LENB(D32),ROUND(LEFT(D32,2*LEN(D32)-LENB(D32))/$A$1,3),((ROUND(LEFT(D32,2*LEN(D32)-LENB(D32))/$A$1,3))*VLOOKUP(H32,食材表!$A:$B,2,FALSE))),"")</f>
        <v>0.52</v>
      </c>
      <c r="J32" s="91">
        <f>E32</f>
        <v>0</v>
      </c>
      <c r="K32" s="83" t="str">
        <f>IFERROR(IF(LEN(F32)=LENB(F32),ROUND(LEFT(F32,2*LEN(F32)-LENB(F32))/$A$1,3),((ROUND(LEFT(F32,2*LEN(F32)-LENB(F32))/$A$1,3))*VLOOKUP(J32,食材表!$A:$B,2,FALSE))),"")</f>
        <v/>
      </c>
      <c r="L32" s="345">
        <f>IFERROR($I32*VLOOKUP($H32,食材表!$A:C,3,FALSE),0)+IFERROR($I33*VLOOKUP($H33,食材表!$A:C,3,FALSE),0)+IFERROR($I34*VLOOKUP($H34,食材表!$A:C,3,FALSE),0)+IFERROR($K32*VLOOKUP($J32,食材表!$A:C,3,FALSE),0)+IFERROR($K33*VLOOKUP($J33,食材表!$A:C,3,FALSE),0)+IFERROR($K34*VLOOKUP($J34,食材表!$A:C,3,FALSE),0)</f>
        <v>0.81640000000000001</v>
      </c>
      <c r="M32" s="345">
        <f>IFERROR($I32*VLOOKUP($H32,食材表!$A:D,4,FALSE),0)+IFERROR($I33*VLOOKUP($H33,食材表!$A:D,4,FALSE),0)+IFERROR($I34*VLOOKUP($H34,食材表!$A:D,4,FALSE),0)+IFERROR($K32*VLOOKUP($J32,食材表!$A:D,4,FALSE),0)+IFERROR($K33*VLOOKUP($J33,食材表!$A:D,4,FALSE),0)+IFERROR($K34*VLOOKUP($J34,食材表!$A:D,4,FALSE),0)</f>
        <v>0.48</v>
      </c>
      <c r="N32" s="345">
        <f>IFERROR($I32*VLOOKUP($H32,食材表!$A:E,5,FALSE),0)+IFERROR($I33*VLOOKUP($H33,食材表!$A:E,5,FALSE),0)+IFERROR($I34*VLOOKUP($H34,食材表!$A:E,5,FALSE),0)+IFERROR($K32*VLOOKUP($J32,食材表!$A:E,5,FALSE),0)+IFERROR($K33*VLOOKUP($J33,食材表!$A:E,5,FALSE),0)+IFERROR($K34*VLOOKUP($J34,食材表!$A:E,5,FALSE),0)</f>
        <v>0.26</v>
      </c>
      <c r="O32" s="345">
        <f>IFERROR($I32*VLOOKUP($H32,食材表!$A:F,6,FALSE),0)+IFERROR($I33*VLOOKUP($H33,食材表!$A:F,6,FALSE),0)+IFERROR($I34*VLOOKUP($H34,食材表!$A:F,6,FALSE),0)+IFERROR($K32*VLOOKUP($J32,食材表!$A:F,6,FALSE),0)+IFERROR($K33*VLOOKUP($J33,食材表!$A:F,6,FALSE),0)+IFERROR($K34*VLOOKUP($J34,食材表!$A:F,6,FALSE),0)</f>
        <v>0</v>
      </c>
      <c r="P32" s="345">
        <f>IFERROR($I32*VLOOKUP($H32,食材表!$A:G,7,FALSE),0)+IFERROR($I33*VLOOKUP($H33,食材表!$A:G,7,FALSE),0)+IFERROR($I34*VLOOKUP($H34,食材表!$A:G,7,FALSE),0)+IFERROR($K32*VLOOKUP($J32,食材表!$A:G,7,FALSE),0)+IFERROR($K33*VLOOKUP($J33,食材表!$A:G,7,FALSE),0)+IFERROR($K34*VLOOKUP($J34,食材表!$A:G,7,FALSE),0)</f>
        <v>0</v>
      </c>
      <c r="Q32" s="345">
        <f>IFERROR($I32*VLOOKUP($H32,食材表!$A:H,8,FALSE),0)+IFERROR($I33*VLOOKUP($H33,食材表!$A:H,8,FALSE),0)+IFERROR($I34*VLOOKUP($H34,食材表!$A:H,8,FALSE),0)+IFERROR($K32*VLOOKUP($J32,食材表!$A:H,8,FALSE),0)+IFERROR($K33*VLOOKUP($J33,食材表!$A:H,8,FALSE),0)+IFERROR($K34*VLOOKUP($J34,食材表!$A:H,8,FALSE),0)</f>
        <v>0</v>
      </c>
      <c r="R32" s="345">
        <f>IFERROR($I32*VLOOKUP($H32,食材表!$A:I,9,FALSE),0)+IFERROR($I33*VLOOKUP($H33,食材表!$A:I,9,FALSE),0)+IFERROR($I34*VLOOKUP($H34,食材表!$A:I,9,FALSE),0)+IFERROR($K32*VLOOKUP($J32,食材表!$A:I,9,FALSE),0)+IFERROR($K33*VLOOKUP($J33,食材表!$A:I,9,FALSE),0)+IFERROR($K34*VLOOKUP($J34,食材表!$A:I,9,FALSE),0)</f>
        <v>0</v>
      </c>
      <c r="S32" s="345">
        <f>SUM(L32*70+M32*75+N32*120+O32*25+P32*60+Q32*45+R32*4)</f>
        <v>124.348</v>
      </c>
    </row>
    <row r="33" spans="1:19">
      <c r="A33" s="33" t="str">
        <f>"2"&amp;+$B32</f>
        <v>2起司蛋餅</v>
      </c>
      <c r="B33" s="350"/>
      <c r="C33" s="22" t="s">
        <v>48</v>
      </c>
      <c r="D33" s="36" t="str">
        <f>ROUND(($A$1+2)/2,0)&amp;+"顆"</f>
        <v>26顆</v>
      </c>
      <c r="E33" s="22"/>
      <c r="F33" s="36"/>
      <c r="G33" s="353"/>
      <c r="H33" s="93" t="str">
        <f t="shared" ref="H33:H34" si="20">C33</f>
        <v>雞蛋</v>
      </c>
      <c r="I33" s="86">
        <f>IFERROR(IF(LEN(D33)=LENB(D33),ROUND(LEFT(D33,2*LEN(D33)-LENB(D33))/$A$1,3),((ROUND(LEFT(D33,2*LEN(D33)-LENB(D33))/$A$1,3))*VLOOKUP(H33,食材表!$A:$B,2,FALSE))),"")</f>
        <v>3.1199999999999999E-2</v>
      </c>
      <c r="J33" s="93">
        <f t="shared" ref="J33:J34" si="21">E33</f>
        <v>0</v>
      </c>
      <c r="K33" s="86" t="str">
        <f>IFERROR(IF(LEN(F33)=LENB(F33),ROUND(LEFT(F33,2*LEN(F33)-LENB(F33))/$A$1,3),((ROUND(LEFT(F33,2*LEN(F33)-LENB(F33))/$A$1,3))*VLOOKUP(J33,食材表!$A:$B,2,FALSE))),"")</f>
        <v/>
      </c>
      <c r="L33" s="345"/>
      <c r="M33" s="345"/>
      <c r="N33" s="345"/>
      <c r="O33" s="345"/>
      <c r="P33" s="345"/>
      <c r="Q33" s="345"/>
      <c r="R33" s="345"/>
      <c r="S33" s="345"/>
    </row>
    <row r="34" spans="1:19">
      <c r="A34" s="33" t="str">
        <f>"3"&amp;+$B32</f>
        <v>3起司蛋餅</v>
      </c>
      <c r="B34" s="351"/>
      <c r="C34" s="26" t="s">
        <v>173</v>
      </c>
      <c r="D34" s="37" t="str">
        <f>ROUND(($A$1+2)/2,0)&amp;+"片"</f>
        <v>26片</v>
      </c>
      <c r="E34" s="26"/>
      <c r="F34" s="37"/>
      <c r="G34" s="354"/>
      <c r="H34" s="92" t="str">
        <f t="shared" si="20"/>
        <v>起司片</v>
      </c>
      <c r="I34" s="84">
        <f>IFERROR(IF(LEN(D34)=LENB(D34),ROUND(LEFT(D34,2*LEN(D34)-LENB(D34))/$A$1,3),((ROUND(LEFT(D34,2*LEN(D34)-LENB(D34))/$A$1,3))*VLOOKUP(H34,食材表!$A:$B,2,FALSE))),"")</f>
        <v>0.52</v>
      </c>
      <c r="J34" s="92">
        <f t="shared" si="21"/>
        <v>0</v>
      </c>
      <c r="K34" s="85" t="str">
        <f>IFERROR(IF(LEN(F34)=LENB(F34),ROUND(LEFT(F34,2*LEN(F34)-LENB(F34))/$A$1,3),((ROUND(LEFT(F34,2*LEN(F34)-LENB(F34))/$A$1,3))*VLOOKUP(J34,食材表!$A:$B,2,FALSE))),"")</f>
        <v/>
      </c>
      <c r="L34" s="345"/>
      <c r="M34" s="345"/>
      <c r="N34" s="345"/>
      <c r="O34" s="345"/>
      <c r="P34" s="345"/>
      <c r="Q34" s="345"/>
      <c r="R34" s="345"/>
      <c r="S34" s="345"/>
    </row>
    <row r="35" spans="1:19">
      <c r="A35" s="33" t="str">
        <f>"1"&amp;+$B35</f>
        <v>1玉米蛋餅</v>
      </c>
      <c r="B35" s="349" t="s">
        <v>423</v>
      </c>
      <c r="C35" s="60" t="s">
        <v>147</v>
      </c>
      <c r="D35" s="59" t="str">
        <f>ROUND(($A$1+2)/2,0)&amp;+"片"</f>
        <v>26片</v>
      </c>
      <c r="E35" s="15"/>
      <c r="F35" s="59"/>
      <c r="G35" s="352" t="str">
        <f>B35</f>
        <v>玉米蛋餅</v>
      </c>
      <c r="H35" s="91" t="str">
        <f>C35</f>
        <v>蛋餅皮</v>
      </c>
      <c r="I35" s="83">
        <f>IFERROR(IF(LEN(D35)=LENB(D35),ROUND(LEFT(D35,2*LEN(D35)-LENB(D35))/$A$1,3),((ROUND(LEFT(D35,2*LEN(D35)-LENB(D35))/$A$1,3))*VLOOKUP(H35,食材表!$A:$B,2,FALSE))),"")</f>
        <v>0.52</v>
      </c>
      <c r="J35" s="91">
        <f>E35</f>
        <v>0</v>
      </c>
      <c r="K35" s="83" t="str">
        <f>IFERROR(IF(LEN(F35)=LENB(F35),ROUND(LEFT(F35,2*LEN(F35)-LENB(F35))/$A$1,3),((ROUND(LEFT(F35,2*LEN(F35)-LENB(F35))/$A$1,3))*VLOOKUP(J35,食材表!$A:$B,2,FALSE))),"")</f>
        <v/>
      </c>
      <c r="L35" s="345">
        <f>IFERROR($I35*VLOOKUP($H35,食材表!$A:C,3,FALSE),0)+IFERROR($I36*VLOOKUP($H36,食材表!$A:C,3,FALSE),0)+IFERROR($I37*VLOOKUP($H37,食材表!$A:C,3,FALSE),0)+IFERROR($K35*VLOOKUP($J35,食材表!$A:C,3,FALSE),0)+IFERROR($K36*VLOOKUP($J36,食材表!$A:C,3,FALSE),0)+IFERROR($K37*VLOOKUP($J37,食材表!$A:C,3,FALSE),0)</f>
        <v>1.1364000000000001</v>
      </c>
      <c r="M35" s="345">
        <f>IFERROR($I35*VLOOKUP($H35,食材表!$A:D,4,FALSE),0)+IFERROR($I36*VLOOKUP($H36,食材表!$A:D,4,FALSE),0)+IFERROR($I37*VLOOKUP($H37,食材表!$A:D,4,FALSE),0)+IFERROR($K35*VLOOKUP($J35,食材表!$A:D,4,FALSE),0)+IFERROR($K36*VLOOKUP($J36,食材表!$A:D,4,FALSE),0)+IFERROR($K37*VLOOKUP($J37,食材表!$A:D,4,FALSE),0)</f>
        <v>0.48</v>
      </c>
      <c r="N35" s="345">
        <f>IFERROR($I35*VLOOKUP($H35,食材表!$A:E,5,FALSE),0)+IFERROR($I36*VLOOKUP($H36,食材表!$A:E,5,FALSE),0)+IFERROR($I37*VLOOKUP($H37,食材表!$A:E,5,FALSE),0)+IFERROR($K35*VLOOKUP($J35,食材表!$A:E,5,FALSE),0)+IFERROR($K36*VLOOKUP($J36,食材表!$A:E,5,FALSE),0)+IFERROR($K37*VLOOKUP($J37,食材表!$A:E,5,FALSE),0)</f>
        <v>0</v>
      </c>
      <c r="O35" s="345">
        <f>IFERROR($I35*VLOOKUP($H35,食材表!$A:F,6,FALSE),0)+IFERROR($I36*VLOOKUP($H36,食材表!$A:F,6,FALSE),0)+IFERROR($I37*VLOOKUP($H37,食材表!$A:F,6,FALSE),0)+IFERROR($K35*VLOOKUP($J35,食材表!$A:F,6,FALSE),0)+IFERROR($K36*VLOOKUP($J36,食材表!$A:F,6,FALSE),0)+IFERROR($K37*VLOOKUP($J37,食材表!$A:F,6,FALSE),0)</f>
        <v>0</v>
      </c>
      <c r="P35" s="345">
        <f>IFERROR($I35*VLOOKUP($H35,食材表!$A:G,7,FALSE),0)+IFERROR($I36*VLOOKUP($H36,食材表!$A:G,7,FALSE),0)+IFERROR($I37*VLOOKUP($H37,食材表!$A:G,7,FALSE),0)+IFERROR($K35*VLOOKUP($J35,食材表!$A:G,7,FALSE),0)+IFERROR($K36*VLOOKUP($J36,食材表!$A:G,7,FALSE),0)+IFERROR($K37*VLOOKUP($J37,食材表!$A:G,7,FALSE),0)</f>
        <v>0</v>
      </c>
      <c r="Q35" s="345">
        <f>IFERROR($I35*VLOOKUP($H35,食材表!$A:H,8,FALSE),0)+IFERROR($I36*VLOOKUP($H36,食材表!$A:H,8,FALSE),0)+IFERROR($I37*VLOOKUP($H37,食材表!$A:H,8,FALSE),0)+IFERROR($K35*VLOOKUP($J35,食材表!$A:H,8,FALSE),0)+IFERROR($K36*VLOOKUP($J36,食材表!$A:H,8,FALSE),0)+IFERROR($K37*VLOOKUP($J37,食材表!$A:H,8,FALSE),0)</f>
        <v>0</v>
      </c>
      <c r="R35" s="345">
        <f>IFERROR($I35*VLOOKUP($H35,食材表!$A:I,9,FALSE),0)+IFERROR($I36*VLOOKUP($H36,食材表!$A:I,9,FALSE),0)+IFERROR($I37*VLOOKUP($H37,食材表!$A:I,9,FALSE),0)+IFERROR($K35*VLOOKUP($J35,食材表!$A:I,9,FALSE),0)+IFERROR($K36*VLOOKUP($J36,食材表!$A:I,9,FALSE),0)+IFERROR($K37*VLOOKUP($J37,食材表!$A:I,9,FALSE),0)</f>
        <v>0</v>
      </c>
      <c r="S35" s="345">
        <f>SUM(L35*70+M35*75+N35*120+O35*25+P35*60+Q35*45+R35*4)</f>
        <v>115.548</v>
      </c>
    </row>
    <row r="36" spans="1:19">
      <c r="A36" s="33" t="str">
        <f>"2"&amp;+$B35</f>
        <v>2玉米蛋餅</v>
      </c>
      <c r="B36" s="350"/>
      <c r="C36" s="22" t="s">
        <v>48</v>
      </c>
      <c r="D36" s="36" t="str">
        <f>ROUND(($A$1+2)/2,0)&amp;+"顆"</f>
        <v>26顆</v>
      </c>
      <c r="E36" s="45"/>
      <c r="F36" s="36"/>
      <c r="G36" s="353"/>
      <c r="H36" s="93" t="str">
        <f t="shared" ref="H36:H37" si="22">C36</f>
        <v>雞蛋</v>
      </c>
      <c r="I36" s="86">
        <f>IFERROR(IF(LEN(D36)=LENB(D36),ROUND(LEFT(D36,2*LEN(D36)-LENB(D36))/$A$1,3),((ROUND(LEFT(D36,2*LEN(D36)-LENB(D36))/$A$1,3))*VLOOKUP(H36,食材表!$A:$B,2,FALSE))),"")</f>
        <v>3.1199999999999999E-2</v>
      </c>
      <c r="J36" s="93">
        <f t="shared" ref="J36:J37" si="23">E36</f>
        <v>0</v>
      </c>
      <c r="K36" s="86" t="str">
        <f>IFERROR(IF(LEN(F36)=LENB(F36),ROUND(LEFT(F36,2*LEN(F36)-LENB(F36))/$A$1,3),((ROUND(LEFT(F36,2*LEN(F36)-LENB(F36))/$A$1,3))*VLOOKUP(J36,食材表!$A:$B,2,FALSE))),"")</f>
        <v/>
      </c>
      <c r="L36" s="345"/>
      <c r="M36" s="345"/>
      <c r="N36" s="345"/>
      <c r="O36" s="345"/>
      <c r="P36" s="345"/>
      <c r="Q36" s="345"/>
      <c r="R36" s="345"/>
      <c r="S36" s="345"/>
    </row>
    <row r="37" spans="1:19">
      <c r="A37" s="33" t="str">
        <f>"3"&amp;+$B35</f>
        <v>3玉米蛋餅</v>
      </c>
      <c r="B37" s="351"/>
      <c r="C37" s="26" t="s">
        <v>153</v>
      </c>
      <c r="D37" s="37" t="s">
        <v>154</v>
      </c>
      <c r="E37" s="14"/>
      <c r="F37" s="37"/>
      <c r="G37" s="354"/>
      <c r="H37" s="92" t="str">
        <f t="shared" si="22"/>
        <v>玉米粒罐頭</v>
      </c>
      <c r="I37" s="84">
        <f>IFERROR(IF(LEN(D37)=LENB(D37),ROUND(LEFT(D37,2*LEN(D37)-LENB(D37))/$A$1,3),((ROUND(LEFT(D37,2*LEN(D37)-LENB(D37))/$A$1,3))*VLOOKUP(H37,食材表!$A:$B,2,FALSE))),"")</f>
        <v>2.7200000000000002E-2</v>
      </c>
      <c r="J37" s="92">
        <f t="shared" si="23"/>
        <v>0</v>
      </c>
      <c r="K37" s="85" t="str">
        <f>IFERROR(IF(LEN(F37)=LENB(F37),ROUND(LEFT(F37,2*LEN(F37)-LENB(F37))/$A$1,3),((ROUND(LEFT(F37,2*LEN(F37)-LENB(F37))/$A$1,3))*VLOOKUP(J37,食材表!$A:$B,2,FALSE))),"")</f>
        <v/>
      </c>
      <c r="L37" s="345"/>
      <c r="M37" s="345"/>
      <c r="N37" s="345"/>
      <c r="O37" s="345"/>
      <c r="P37" s="345"/>
      <c r="Q37" s="345"/>
      <c r="R37" s="345"/>
      <c r="S37" s="345"/>
    </row>
    <row r="38" spans="1:19">
      <c r="A38" s="33" t="str">
        <f>"1"&amp;+$B38</f>
        <v>1蛋餅</v>
      </c>
      <c r="B38" s="349" t="s">
        <v>166</v>
      </c>
      <c r="C38" s="60" t="s">
        <v>147</v>
      </c>
      <c r="D38" s="59" t="str">
        <f>ROUND(($A$1+2)/2,0)&amp;+"片"</f>
        <v>26片</v>
      </c>
      <c r="E38" s="15"/>
      <c r="F38" s="59"/>
      <c r="G38" s="352" t="str">
        <f>B38</f>
        <v>蛋餅</v>
      </c>
      <c r="H38" s="91" t="str">
        <f>C38</f>
        <v>蛋餅皮</v>
      </c>
      <c r="I38" s="83">
        <f>IFERROR(IF(LEN(D38)=LENB(D38),ROUND(LEFT(D38,2*LEN(D38)-LENB(D38))/$A$1,3),((ROUND(LEFT(D38,2*LEN(D38)-LENB(D38))/$A$1,3))*VLOOKUP(H38,食材表!$A:$B,2,FALSE))),"")</f>
        <v>0.52</v>
      </c>
      <c r="J38" s="91">
        <f>E38</f>
        <v>0</v>
      </c>
      <c r="K38" s="83" t="str">
        <f>IFERROR(IF(LEN(F38)=LENB(F38),ROUND(LEFT(F38,2*LEN(F38)-LENB(F38))/$A$1,3),((ROUND(LEFT(F38,2*LEN(F38)-LENB(F38))/$A$1,3))*VLOOKUP(J38,食材表!$A:$B,2,FALSE))),"")</f>
        <v/>
      </c>
      <c r="L38" s="345">
        <f>IFERROR($I38*VLOOKUP($H38,食材表!$A:C,3,FALSE),0)+IFERROR($I39*VLOOKUP($H39,食材表!$A:C,3,FALSE),0)+IFERROR($I40*VLOOKUP($H40,食材表!$A:C,3,FALSE),0)+IFERROR($K38*VLOOKUP($J38,食材表!$A:C,3,FALSE),0)+IFERROR($K39*VLOOKUP($J39,食材表!$A:C,3,FALSE),0)+IFERROR($K40*VLOOKUP($J40,食材表!$A:C,3,FALSE),0)</f>
        <v>0.81640000000000001</v>
      </c>
      <c r="M38" s="345">
        <f>IFERROR($I38*VLOOKUP($H38,食材表!$A:D,4,FALSE),0)+IFERROR($I39*VLOOKUP($H39,食材表!$A:D,4,FALSE),0)+IFERROR($I40*VLOOKUP($H40,食材表!$A:D,4,FALSE),0)+IFERROR($K38*VLOOKUP($J38,食材表!$A:D,4,FALSE),0)+IFERROR($K39*VLOOKUP($J39,食材表!$A:D,4,FALSE),0)+IFERROR($K40*VLOOKUP($J40,食材表!$A:D,4,FALSE),0)</f>
        <v>0.48</v>
      </c>
      <c r="N38" s="345">
        <f>IFERROR($I38*VLOOKUP($H38,食材表!$A:E,5,FALSE),0)+IFERROR($I39*VLOOKUP($H39,食材表!$A:E,5,FALSE),0)+IFERROR($I40*VLOOKUP($H40,食材表!$A:E,5,FALSE),0)+IFERROR($K38*VLOOKUP($J38,食材表!$A:E,5,FALSE),0)+IFERROR($K39*VLOOKUP($J39,食材表!$A:E,5,FALSE),0)+IFERROR($K40*VLOOKUP($J40,食材表!$A:E,5,FALSE),0)</f>
        <v>0</v>
      </c>
      <c r="O38" s="345">
        <f>IFERROR($I38*VLOOKUP($H38,食材表!$A:F,6,FALSE),0)+IFERROR($I39*VLOOKUP($H39,食材表!$A:F,6,FALSE),0)+IFERROR($I40*VLOOKUP($H40,食材表!$A:F,6,FALSE),0)+IFERROR($K38*VLOOKUP($J38,食材表!$A:F,6,FALSE),0)+IFERROR($K39*VLOOKUP($J39,食材表!$A:F,6,FALSE),0)+IFERROR($K40*VLOOKUP($J40,食材表!$A:F,6,FALSE),0)</f>
        <v>0</v>
      </c>
      <c r="P38" s="345">
        <f>IFERROR($I38*VLOOKUP($H38,食材表!$A:G,7,FALSE),0)+IFERROR($I39*VLOOKUP($H39,食材表!$A:G,7,FALSE),0)+IFERROR($I40*VLOOKUP($H40,食材表!$A:G,7,FALSE),0)+IFERROR($K38*VLOOKUP($J38,食材表!$A:G,7,FALSE),0)+IFERROR($K39*VLOOKUP($J39,食材表!$A:G,7,FALSE),0)+IFERROR($K40*VLOOKUP($J40,食材表!$A:G,7,FALSE),0)</f>
        <v>0</v>
      </c>
      <c r="Q38" s="345">
        <f>IFERROR($I38*VLOOKUP($H38,食材表!$A:H,8,FALSE),0)+IFERROR($I39*VLOOKUP($H39,食材表!$A:H,8,FALSE),0)+IFERROR($I40*VLOOKUP($H40,食材表!$A:H,8,FALSE),0)+IFERROR($K38*VLOOKUP($J38,食材表!$A:H,8,FALSE),0)+IFERROR($K39*VLOOKUP($J39,食材表!$A:H,8,FALSE),0)+IFERROR($K40*VLOOKUP($J40,食材表!$A:H,8,FALSE),0)</f>
        <v>0</v>
      </c>
      <c r="R38" s="345">
        <f>IFERROR($I38*VLOOKUP($H38,食材表!$A:I,9,FALSE),0)+IFERROR($I39*VLOOKUP($H39,食材表!$A:I,9,FALSE),0)+IFERROR($I40*VLOOKUP($H40,食材表!$A:I,9,FALSE),0)+IFERROR($K38*VLOOKUP($J38,食材表!$A:I,9,FALSE),0)+IFERROR($K39*VLOOKUP($J39,食材表!$A:I,9,FALSE),0)+IFERROR($K40*VLOOKUP($J40,食材表!$A:I,9,FALSE),0)</f>
        <v>0</v>
      </c>
      <c r="S38" s="345">
        <f>SUM(L38*70+M38*75+N38*120+O38*25+P38*60+Q38*45+R38*4)</f>
        <v>93.147999999999996</v>
      </c>
    </row>
    <row r="39" spans="1:19">
      <c r="A39" s="33" t="str">
        <f>"2"&amp;+$B38</f>
        <v>2蛋餅</v>
      </c>
      <c r="B39" s="350"/>
      <c r="C39" s="22" t="s">
        <v>48</v>
      </c>
      <c r="D39" s="36" t="str">
        <f>ROUND(($A$1+2)/2,0)&amp;+"顆"</f>
        <v>26顆</v>
      </c>
      <c r="E39" s="45"/>
      <c r="F39" s="36"/>
      <c r="G39" s="353"/>
      <c r="H39" s="93" t="str">
        <f t="shared" ref="H39:H40" si="24">C39</f>
        <v>雞蛋</v>
      </c>
      <c r="I39" s="86">
        <f>IFERROR(IF(LEN(D39)=LENB(D39),ROUND(LEFT(D39,2*LEN(D39)-LENB(D39))/$A$1,3),((ROUND(LEFT(D39,2*LEN(D39)-LENB(D39))/$A$1,3))*VLOOKUP(H39,食材表!$A:$B,2,FALSE))),"")</f>
        <v>3.1199999999999999E-2</v>
      </c>
      <c r="J39" s="93">
        <f t="shared" ref="J39:J40" si="25">E39</f>
        <v>0</v>
      </c>
      <c r="K39" s="86" t="str">
        <f>IFERROR(IF(LEN(F39)=LENB(F39),ROUND(LEFT(F39,2*LEN(F39)-LENB(F39))/$A$1,3),((ROUND(LEFT(F39,2*LEN(F39)-LENB(F39))/$A$1,3))*VLOOKUP(J39,食材表!$A:$B,2,FALSE))),"")</f>
        <v/>
      </c>
      <c r="L39" s="345"/>
      <c r="M39" s="345"/>
      <c r="N39" s="345"/>
      <c r="O39" s="345"/>
      <c r="P39" s="345"/>
      <c r="Q39" s="345"/>
      <c r="R39" s="345"/>
      <c r="S39" s="345"/>
    </row>
    <row r="40" spans="1:19">
      <c r="A40" s="33" t="str">
        <f>"3"&amp;+$B38</f>
        <v>3蛋餅</v>
      </c>
      <c r="B40" s="351"/>
      <c r="C40" s="26"/>
      <c r="D40" s="37"/>
      <c r="E40" s="14"/>
      <c r="F40" s="37"/>
      <c r="G40" s="354"/>
      <c r="H40" s="92">
        <f t="shared" si="24"/>
        <v>0</v>
      </c>
      <c r="I40" s="84" t="str">
        <f>IFERROR(IF(LEN(D40)=LENB(D40),ROUND(LEFT(D40,2*LEN(D40)-LENB(D40))/$A$1,3),((ROUND(LEFT(D40,2*LEN(D40)-LENB(D40))/$A$1,3))*VLOOKUP(H40,食材表!$A:$B,2,FALSE))),"")</f>
        <v/>
      </c>
      <c r="J40" s="92">
        <f t="shared" si="25"/>
        <v>0</v>
      </c>
      <c r="K40" s="85" t="str">
        <f>IFERROR(IF(LEN(F40)=LENB(F40),ROUND(LEFT(F40,2*LEN(F40)-LENB(F40))/$A$1,3),((ROUND(LEFT(F40,2*LEN(F40)-LENB(F40))/$A$1,3))*VLOOKUP(J40,食材表!$A:$B,2,FALSE))),"")</f>
        <v/>
      </c>
      <c r="L40" s="345"/>
      <c r="M40" s="345"/>
      <c r="N40" s="345"/>
      <c r="O40" s="345"/>
      <c r="P40" s="345"/>
      <c r="Q40" s="345"/>
      <c r="R40" s="345"/>
      <c r="S40" s="345"/>
    </row>
    <row r="41" spans="1:19">
      <c r="A41" s="33" t="str">
        <f>"1"&amp;+$B41</f>
        <v>1蔥抓餅</v>
      </c>
      <c r="B41" s="349" t="s">
        <v>410</v>
      </c>
      <c r="C41" s="60" t="s">
        <v>409</v>
      </c>
      <c r="D41" s="59" t="str">
        <f>ROUND(($A$1+2)/2,0)&amp;+"片"</f>
        <v>26片</v>
      </c>
      <c r="E41" s="15"/>
      <c r="F41" s="59"/>
      <c r="G41" s="352" t="str">
        <f>B41</f>
        <v>蔥抓餅</v>
      </c>
      <c r="H41" s="91" t="str">
        <f>C41</f>
        <v>蔥抓餅</v>
      </c>
      <c r="I41" s="83">
        <f>IFERROR(IF(LEN(D41)=LENB(D41),ROUND(LEFT(D41,2*LEN(D41)-LENB(D41))/$A$1,3),((ROUND(LEFT(D41,2*LEN(D41)-LENB(D41))/$A$1,3))*VLOOKUP(H41,食材表!$A:$B,2,FALSE))),"")</f>
        <v>0.52</v>
      </c>
      <c r="J41" s="91">
        <f>E41</f>
        <v>0</v>
      </c>
      <c r="K41" s="83" t="str">
        <f>IFERROR(IF(LEN(F41)=LENB(F41),ROUND(LEFT(F41,2*LEN(F41)-LENB(F41))/$A$1,3),((ROUND(LEFT(F41,2*LEN(F41)-LENB(F41))/$A$1,3))*VLOOKUP(J41,食材表!$A:$B,2,FALSE))),"")</f>
        <v/>
      </c>
      <c r="L41" s="345">
        <f>IFERROR($I41*VLOOKUP($H41,食材表!$A:C,3,FALSE),0)+IFERROR($I42*VLOOKUP($H42,食材表!$A:C,3,FALSE),0)+IFERROR($I43*VLOOKUP($H43,食材表!$A:C,3,FALSE),0)+IFERROR($K41*VLOOKUP($J41,食材表!$A:C,3,FALSE),0)+IFERROR($K42*VLOOKUP($J42,食材表!$A:C,3,FALSE),0)+IFERROR($K43*VLOOKUP($J43,食材表!$A:C,3,FALSE),0)</f>
        <v>1.768</v>
      </c>
      <c r="M41" s="345">
        <f>IFERROR($I41*VLOOKUP($H41,食材表!$A:D,4,FALSE),0)+IFERROR($I42*VLOOKUP($H42,食材表!$A:D,4,FALSE),0)+IFERROR($I43*VLOOKUP($H43,食材表!$A:D,4,FALSE),0)+IFERROR($K41*VLOOKUP($J41,食材表!$A:D,4,FALSE),0)+IFERROR($K42*VLOOKUP($J42,食材表!$A:D,4,FALSE),0)+IFERROR($K43*VLOOKUP($J43,食材表!$A:D,4,FALSE),0)</f>
        <v>0</v>
      </c>
      <c r="N41" s="345">
        <f>IFERROR($I41*VLOOKUP($H41,食材表!$A:E,5,FALSE),0)+IFERROR($I42*VLOOKUP($H42,食材表!$A:E,5,FALSE),0)+IFERROR($I43*VLOOKUP($H43,食材表!$A:E,5,FALSE),0)+IFERROR($K41*VLOOKUP($J41,食材表!$A:E,5,FALSE),0)+IFERROR($K42*VLOOKUP($J42,食材表!$A:E,5,FALSE),0)+IFERROR($K43*VLOOKUP($J43,食材表!$A:E,5,FALSE),0)</f>
        <v>0</v>
      </c>
      <c r="O41" s="345">
        <f>IFERROR($I41*VLOOKUP($H41,食材表!$A:F,6,FALSE),0)+IFERROR($I42*VLOOKUP($H42,食材表!$A:F,6,FALSE),0)+IFERROR($I43*VLOOKUP($H43,食材表!$A:F,6,FALSE),0)+IFERROR($K41*VLOOKUP($J41,食材表!$A:F,6,FALSE),0)+IFERROR($K42*VLOOKUP($J42,食材表!$A:F,6,FALSE),0)+IFERROR($K43*VLOOKUP($J43,食材表!$A:F,6,FALSE),0)</f>
        <v>0</v>
      </c>
      <c r="P41" s="345">
        <f>IFERROR($I41*VLOOKUP($H41,食材表!$A:G,7,FALSE),0)+IFERROR($I42*VLOOKUP($H42,食材表!$A:G,7,FALSE),0)+IFERROR($I43*VLOOKUP($H43,食材表!$A:G,7,FALSE),0)+IFERROR($K41*VLOOKUP($J41,食材表!$A:G,7,FALSE),0)+IFERROR($K42*VLOOKUP($J42,食材表!$A:G,7,FALSE),0)+IFERROR($K43*VLOOKUP($J43,食材表!$A:G,7,FALSE),0)</f>
        <v>0</v>
      </c>
      <c r="Q41" s="345">
        <f>IFERROR($I41*VLOOKUP($H41,食材表!$A:H,8,FALSE),0)+IFERROR($I42*VLOOKUP($H42,食材表!$A:H,8,FALSE),0)+IFERROR($I43*VLOOKUP($H43,食材表!$A:H,8,FALSE),0)+IFERROR($K41*VLOOKUP($J41,食材表!$A:H,8,FALSE),0)+IFERROR($K42*VLOOKUP($J42,食材表!$A:H,8,FALSE),0)+IFERROR($K43*VLOOKUP($J43,食材表!$A:H,8,FALSE),0)</f>
        <v>0.312</v>
      </c>
      <c r="R41" s="345">
        <f>IFERROR($I41*VLOOKUP($H41,食材表!$A:I,9,FALSE),0)+IFERROR($I42*VLOOKUP($H42,食材表!$A:I,9,FALSE),0)+IFERROR($I43*VLOOKUP($H43,食材表!$A:I,9,FALSE),0)+IFERROR($K41*VLOOKUP($J41,食材表!$A:I,9,FALSE),0)+IFERROR($K42*VLOOKUP($J42,食材表!$A:I,9,FALSE),0)+IFERROR($K43*VLOOKUP($J43,食材表!$A:I,9,FALSE),0)</f>
        <v>0</v>
      </c>
      <c r="S41" s="345">
        <f>SUM(L41*70+M41*75+N41*120+O41*25+P41*60+Q41*45+R41*4)</f>
        <v>137.80000000000001</v>
      </c>
    </row>
    <row r="42" spans="1:19">
      <c r="A42" s="33" t="str">
        <f>"2"&amp;+$B41</f>
        <v>2蔥抓餅</v>
      </c>
      <c r="B42" s="350"/>
      <c r="C42" s="22"/>
      <c r="D42" s="36"/>
      <c r="E42" s="45"/>
      <c r="F42" s="36"/>
      <c r="G42" s="353"/>
      <c r="H42" s="93">
        <f t="shared" ref="H42:H43" si="26">C42</f>
        <v>0</v>
      </c>
      <c r="I42" s="86" t="str">
        <f>IFERROR(IF(LEN(D42)=LENB(D42),ROUND(LEFT(D42,2*LEN(D42)-LENB(D42))/$A$1,3),((ROUND(LEFT(D42,2*LEN(D42)-LENB(D42))/$A$1,3))*VLOOKUP(H42,食材表!$A:$B,2,FALSE))),"")</f>
        <v/>
      </c>
      <c r="J42" s="93">
        <f t="shared" ref="J42:J43" si="27">E42</f>
        <v>0</v>
      </c>
      <c r="K42" s="86" t="str">
        <f>IFERROR(IF(LEN(F42)=LENB(F42),ROUND(LEFT(F42,2*LEN(F42)-LENB(F42))/$A$1,3),((ROUND(LEFT(F42,2*LEN(F42)-LENB(F42))/$A$1,3))*VLOOKUP(J42,食材表!$A:$B,2,FALSE))),"")</f>
        <v/>
      </c>
      <c r="L42" s="345"/>
      <c r="M42" s="345"/>
      <c r="N42" s="345"/>
      <c r="O42" s="345"/>
      <c r="P42" s="345"/>
      <c r="Q42" s="345"/>
      <c r="R42" s="345"/>
      <c r="S42" s="345"/>
    </row>
    <row r="43" spans="1:19">
      <c r="A43" s="33" t="str">
        <f>"3"&amp;+$B41</f>
        <v>3蔥抓餅</v>
      </c>
      <c r="B43" s="351"/>
      <c r="C43" s="26"/>
      <c r="D43" s="37"/>
      <c r="E43" s="14"/>
      <c r="F43" s="37"/>
      <c r="G43" s="354"/>
      <c r="H43" s="92">
        <f t="shared" si="26"/>
        <v>0</v>
      </c>
      <c r="I43" s="84" t="str">
        <f>IFERROR(IF(LEN(D43)=LENB(D43),ROUND(LEFT(D43,2*LEN(D43)-LENB(D43))/$A$1,3),((ROUND(LEFT(D43,2*LEN(D43)-LENB(D43))/$A$1,3))*VLOOKUP(H43,食材表!$A:$B,2,FALSE))),"")</f>
        <v/>
      </c>
      <c r="J43" s="92">
        <f t="shared" si="27"/>
        <v>0</v>
      </c>
      <c r="K43" s="85" t="str">
        <f>IFERROR(IF(LEN(F43)=LENB(F43),ROUND(LEFT(F43,2*LEN(F43)-LENB(F43))/$A$1,3),((ROUND(LEFT(F43,2*LEN(F43)-LENB(F43))/$A$1,3))*VLOOKUP(J43,食材表!$A:$B,2,FALSE))),"")</f>
        <v/>
      </c>
      <c r="L43" s="345"/>
      <c r="M43" s="345"/>
      <c r="N43" s="345"/>
      <c r="O43" s="345"/>
      <c r="P43" s="345"/>
      <c r="Q43" s="345"/>
      <c r="R43" s="345"/>
      <c r="S43" s="345"/>
    </row>
    <row r="44" spans="1:19">
      <c r="A44" s="33" t="str">
        <f>"1"&amp;+$B44</f>
        <v>1豬肉餡餅</v>
      </c>
      <c r="B44" s="349" t="s">
        <v>190</v>
      </c>
      <c r="C44" s="60" t="s">
        <v>190</v>
      </c>
      <c r="D44" s="59" t="str">
        <f>ROUND(($A$1+2),0)&amp;+"個"</f>
        <v>52個</v>
      </c>
      <c r="E44" s="15"/>
      <c r="F44" s="59"/>
      <c r="G44" s="352" t="str">
        <f>B44</f>
        <v>豬肉餡餅</v>
      </c>
      <c r="H44" s="91" t="str">
        <f>C44</f>
        <v>豬肉餡餅</v>
      </c>
      <c r="I44" s="83">
        <f>IFERROR(IF(LEN(D44)=LENB(D44),ROUND(LEFT(D44,2*LEN(D44)-LENB(D44))/$A$1,3),((ROUND(LEFT(D44,2*LEN(D44)-LENB(D44))/$A$1,3))*VLOOKUP(H44,食材表!$A:$B,2,FALSE))),"")</f>
        <v>1.04</v>
      </c>
      <c r="J44" s="91">
        <f>E44</f>
        <v>0</v>
      </c>
      <c r="K44" s="83" t="str">
        <f>IFERROR(IF(LEN(F44)=LENB(F44),ROUND(LEFT(F44,2*LEN(F44)-LENB(F44))/$A$1,3),((ROUND(LEFT(F44,2*LEN(F44)-LENB(F44))/$A$1,3))*VLOOKUP(J44,食材表!$A:$B,2,FALSE))),"")</f>
        <v/>
      </c>
      <c r="L44" s="345">
        <f>IFERROR($I44*VLOOKUP($H44,食材表!$A:C,3,FALSE),0)+IFERROR($I45*VLOOKUP($H45,食材表!$A:C,3,FALSE),0)+IFERROR($I46*VLOOKUP($H46,食材表!$A:C,3,FALSE),0)+IFERROR($K44*VLOOKUP($J44,食材表!$A:C,3,FALSE),0)+IFERROR($K45*VLOOKUP($J45,食材表!$A:C,3,FALSE),0)+IFERROR($K46*VLOOKUP($J46,食材表!$A:C,3,FALSE),0)</f>
        <v>0.93600000000000005</v>
      </c>
      <c r="M44" s="345">
        <f>IFERROR($I44*VLOOKUP($H44,食材表!$A:D,4,FALSE),0)+IFERROR($I45*VLOOKUP($H45,食材表!$A:D,4,FALSE),0)+IFERROR($I46*VLOOKUP($H46,食材表!$A:D,4,FALSE),0)+IFERROR($K44*VLOOKUP($J44,食材表!$A:D,4,FALSE),0)+IFERROR($K45*VLOOKUP($J45,食材表!$A:D,4,FALSE),0)+IFERROR($K46*VLOOKUP($J46,食材表!$A:D,4,FALSE),0)</f>
        <v>0.52</v>
      </c>
      <c r="N44" s="345">
        <f>IFERROR($I44*VLOOKUP($H44,食材表!$A:E,5,FALSE),0)+IFERROR($I45*VLOOKUP($H45,食材表!$A:E,5,FALSE),0)+IFERROR($I46*VLOOKUP($H46,食材表!$A:E,5,FALSE),0)+IFERROR($K44*VLOOKUP($J44,食材表!$A:E,5,FALSE),0)+IFERROR($K45*VLOOKUP($J45,食材表!$A:E,5,FALSE),0)+IFERROR($K46*VLOOKUP($J46,食材表!$A:E,5,FALSE),0)</f>
        <v>0</v>
      </c>
      <c r="O44" s="345">
        <f>IFERROR($I44*VLOOKUP($H44,食材表!$A:F,6,FALSE),0)+IFERROR($I45*VLOOKUP($H45,食材表!$A:F,6,FALSE),0)+IFERROR($I46*VLOOKUP($H46,食材表!$A:F,6,FALSE),0)+IFERROR($K44*VLOOKUP($J44,食材表!$A:F,6,FALSE),0)+IFERROR($K45*VLOOKUP($J45,食材表!$A:F,6,FALSE),0)+IFERROR($K46*VLOOKUP($J46,食材表!$A:F,6,FALSE),0)</f>
        <v>0</v>
      </c>
      <c r="P44" s="345">
        <f>IFERROR($I44*VLOOKUP($H44,食材表!$A:G,7,FALSE),0)+IFERROR($I45*VLOOKUP($H45,食材表!$A:G,7,FALSE),0)+IFERROR($I46*VLOOKUP($H46,食材表!$A:G,7,FALSE),0)+IFERROR($K44*VLOOKUP($J44,食材表!$A:G,7,FALSE),0)+IFERROR($K45*VLOOKUP($J45,食材表!$A:G,7,FALSE),0)+IFERROR($K46*VLOOKUP($J46,食材表!$A:G,7,FALSE),0)</f>
        <v>0</v>
      </c>
      <c r="Q44" s="345">
        <f>IFERROR($I44*VLOOKUP($H44,食材表!$A:H,8,FALSE),0)+IFERROR($I45*VLOOKUP($H45,食材表!$A:H,8,FALSE),0)+IFERROR($I46*VLOOKUP($H46,食材表!$A:H,8,FALSE),0)+IFERROR($K44*VLOOKUP($J44,食材表!$A:H,8,FALSE),0)+IFERROR($K45*VLOOKUP($J45,食材表!$A:H,8,FALSE),0)+IFERROR($K46*VLOOKUP($J46,食材表!$A:H,8,FALSE),0)</f>
        <v>0.624</v>
      </c>
      <c r="R44" s="345">
        <f>IFERROR($I44*VLOOKUP($H44,食材表!$A:I,9,FALSE),0)+IFERROR($I45*VLOOKUP($H45,食材表!$A:I,9,FALSE),0)+IFERROR($I46*VLOOKUP($H46,食材表!$A:I,9,FALSE),0)+IFERROR($K44*VLOOKUP($J44,食材表!$A:I,9,FALSE),0)+IFERROR($K45*VLOOKUP($J45,食材表!$A:I,9,FALSE),0)+IFERROR($K46*VLOOKUP($J46,食材表!$A:I,9,FALSE),0)</f>
        <v>0</v>
      </c>
      <c r="S44" s="345">
        <f>SUM(L44*70+M44*75+N44*120+O44*25+P44*60+Q44*45+R44*4)</f>
        <v>132.60000000000002</v>
      </c>
    </row>
    <row r="45" spans="1:19">
      <c r="A45" s="33" t="str">
        <f>"2"&amp;+$B44</f>
        <v>2豬肉餡餅</v>
      </c>
      <c r="B45" s="350"/>
      <c r="C45" s="22"/>
      <c r="D45" s="36"/>
      <c r="E45" s="45"/>
      <c r="F45" s="36"/>
      <c r="G45" s="353"/>
      <c r="H45" s="93">
        <f t="shared" ref="H45:H46" si="28">C45</f>
        <v>0</v>
      </c>
      <c r="I45" s="86" t="str">
        <f>IFERROR(IF(LEN(D45)=LENB(D45),ROUND(LEFT(D45,2*LEN(D45)-LENB(D45))/$A$1,3),((ROUND(LEFT(D45,2*LEN(D45)-LENB(D45))/$A$1,3))*VLOOKUP(H45,食材表!$A:$B,2,FALSE))),"")</f>
        <v/>
      </c>
      <c r="J45" s="93">
        <f t="shared" ref="J45:J46" si="29">E45</f>
        <v>0</v>
      </c>
      <c r="K45" s="86" t="str">
        <f>IFERROR(IF(LEN(F45)=LENB(F45),ROUND(LEFT(F45,2*LEN(F45)-LENB(F45))/$A$1,3),((ROUND(LEFT(F45,2*LEN(F45)-LENB(F45))/$A$1,3))*VLOOKUP(J45,食材表!$A:$B,2,FALSE))),"")</f>
        <v/>
      </c>
      <c r="L45" s="345"/>
      <c r="M45" s="345"/>
      <c r="N45" s="345"/>
      <c r="O45" s="345"/>
      <c r="P45" s="345"/>
      <c r="Q45" s="345"/>
      <c r="R45" s="345"/>
      <c r="S45" s="345"/>
    </row>
    <row r="46" spans="1:19">
      <c r="A46" s="33" t="str">
        <f>"3"&amp;+$B44</f>
        <v>3豬肉餡餅</v>
      </c>
      <c r="B46" s="351"/>
      <c r="C46" s="26"/>
      <c r="D46" s="37"/>
      <c r="E46" s="14"/>
      <c r="F46" s="37"/>
      <c r="G46" s="354"/>
      <c r="H46" s="92">
        <f t="shared" si="28"/>
        <v>0</v>
      </c>
      <c r="I46" s="84" t="str">
        <f>IFERROR(IF(LEN(D46)=LENB(D46),ROUND(LEFT(D46,2*LEN(D46)-LENB(D46))/$A$1,3),((ROUND(LEFT(D46,2*LEN(D46)-LENB(D46))/$A$1,3))*VLOOKUP(H46,食材表!$A:$B,2,FALSE))),"")</f>
        <v/>
      </c>
      <c r="J46" s="92">
        <f t="shared" si="29"/>
        <v>0</v>
      </c>
      <c r="K46" s="85" t="str">
        <f>IFERROR(IF(LEN(F46)=LENB(F46),ROUND(LEFT(F46,2*LEN(F46)-LENB(F46))/$A$1,3),((ROUND(LEFT(F46,2*LEN(F46)-LENB(F46))/$A$1,3))*VLOOKUP(J46,食材表!$A:$B,2,FALSE))),"")</f>
        <v/>
      </c>
      <c r="L46" s="345"/>
      <c r="M46" s="345"/>
      <c r="N46" s="345"/>
      <c r="O46" s="345"/>
      <c r="P46" s="345"/>
      <c r="Q46" s="345"/>
      <c r="R46" s="345"/>
      <c r="S46" s="345"/>
    </row>
    <row r="47" spans="1:19">
      <c r="A47" s="33" t="str">
        <f>"1"&amp;+$B47</f>
        <v>1鮮肉包</v>
      </c>
      <c r="B47" s="355" t="s">
        <v>916</v>
      </c>
      <c r="C47" s="55" t="s">
        <v>916</v>
      </c>
      <c r="D47" s="71" t="str">
        <f>$A$1+2&amp;+"個"</f>
        <v>52個</v>
      </c>
      <c r="E47" s="55"/>
      <c r="F47" s="33"/>
      <c r="G47" s="352" t="str">
        <f>B47</f>
        <v>鮮肉包</v>
      </c>
      <c r="H47" s="91" t="str">
        <f>C47</f>
        <v>鮮肉包</v>
      </c>
      <c r="I47" s="83">
        <f>IFERROR(IF(LEN(D47)=LENB(D47),ROUND(LEFT(D47,2*LEN(D47)-LENB(D47))/$A$1,3),((ROUND(LEFT(D47,2*LEN(D47)-LENB(D47))/$A$1,3))*VLOOKUP(H47,食材表!$A:$B,2,FALSE))),"")</f>
        <v>1.04</v>
      </c>
      <c r="J47" s="91">
        <f>E47</f>
        <v>0</v>
      </c>
      <c r="K47" s="83" t="str">
        <f>IFERROR(IF(LEN(F47)=LENB(F47),ROUND(LEFT(F47,2*LEN(F47)-LENB(F47))/$A$1,3),((ROUND(LEFT(F47,2*LEN(F47)-LENB(F47))/$A$1,3))*VLOOKUP(J47,食材表!$A:$B,2,FALSE))),"")</f>
        <v/>
      </c>
      <c r="L47" s="345">
        <f>IFERROR($I47*VLOOKUP($H47,食材表!$A:C,3,FALSE),0)+IFERROR($I48*VLOOKUP($H48,食材表!$A:C,3,FALSE),0)+IFERROR($I49*VLOOKUP($H49,食材表!$A:C,3,FALSE),0)+IFERROR($K47*VLOOKUP($J47,食材表!$A:C,3,FALSE),0)+IFERROR($K48*VLOOKUP($J48,食材表!$A:C,3,FALSE),0)+IFERROR($K49*VLOOKUP($J49,食材表!$A:C,3,FALSE),0)</f>
        <v>1.8720000000000001</v>
      </c>
      <c r="M47" s="345">
        <f>IFERROR($I47*VLOOKUP($H47,食材表!$A:D,4,FALSE),0)+IFERROR($I48*VLOOKUP($H48,食材表!$A:D,4,FALSE),0)+IFERROR($I49*VLOOKUP($H49,食材表!$A:D,4,FALSE),0)+IFERROR($K47*VLOOKUP($J47,食材表!$A:D,4,FALSE),0)+IFERROR($K48*VLOOKUP($J48,食材表!$A:D,4,FALSE),0)+IFERROR($K49*VLOOKUP($J49,食材表!$A:D,4,FALSE),0)</f>
        <v>0.52</v>
      </c>
      <c r="N47" s="345">
        <f>IFERROR($I47*VLOOKUP($H47,食材表!$A:E,5,FALSE),0)+IFERROR($I48*VLOOKUP($H48,食材表!$A:E,5,FALSE),0)+IFERROR($I49*VLOOKUP($H49,食材表!$A:E,5,FALSE),0)+IFERROR($K47*VLOOKUP($J47,食材表!$A:E,5,FALSE),0)+IFERROR($K48*VLOOKUP($J48,食材表!$A:E,5,FALSE),0)+IFERROR($K49*VLOOKUP($J49,食材表!$A:E,5,FALSE),0)</f>
        <v>0</v>
      </c>
      <c r="O47" s="345">
        <f>IFERROR($I47*VLOOKUP($H47,食材表!$A:F,6,FALSE),0)+IFERROR($I48*VLOOKUP($H48,食材表!$A:F,6,FALSE),0)+IFERROR($I49*VLOOKUP($H49,食材表!$A:F,6,FALSE),0)+IFERROR($K47*VLOOKUP($J47,食材表!$A:F,6,FALSE),0)+IFERROR($K48*VLOOKUP($J48,食材表!$A:F,6,FALSE),0)+IFERROR($K49*VLOOKUP($J49,食材表!$A:F,6,FALSE),0)</f>
        <v>0</v>
      </c>
      <c r="P47" s="345">
        <f>IFERROR($I47*VLOOKUP($H47,食材表!$A:G,7,FALSE),0)+IFERROR($I48*VLOOKUP($H48,食材表!$A:G,7,FALSE),0)+IFERROR($I49*VLOOKUP($H49,食材表!$A:G,7,FALSE),0)+IFERROR($K47*VLOOKUP($J47,食材表!$A:G,7,FALSE),0)+IFERROR($K48*VLOOKUP($J48,食材表!$A:G,7,FALSE),0)+IFERROR($K49*VLOOKUP($J49,食材表!$A:G,7,FALSE),0)</f>
        <v>0</v>
      </c>
      <c r="Q47" s="345">
        <f>IFERROR($I47*VLOOKUP($H47,食材表!$A:H,8,FALSE),0)+IFERROR($I48*VLOOKUP($H48,食材表!$A:H,8,FALSE),0)+IFERROR($I49*VLOOKUP($H49,食材表!$A:H,8,FALSE),0)+IFERROR($K47*VLOOKUP($J47,食材表!$A:H,8,FALSE),0)+IFERROR($K48*VLOOKUP($J48,食材表!$A:H,8,FALSE),0)+IFERROR($K49*VLOOKUP($J49,食材表!$A:H,8,FALSE),0)</f>
        <v>0.83200000000000007</v>
      </c>
      <c r="R47" s="345">
        <f>IFERROR($I47*VLOOKUP($H47,食材表!$A:I,9,FALSE),0)+IFERROR($I48*VLOOKUP($H48,食材表!$A:I,9,FALSE),0)+IFERROR($I49*VLOOKUP($H49,食材表!$A:I,9,FALSE),0)+IFERROR($K47*VLOOKUP($J47,食材表!$A:I,9,FALSE),0)+IFERROR($K48*VLOOKUP($J48,食材表!$A:I,9,FALSE),0)+IFERROR($K49*VLOOKUP($J49,食材表!$A:I,9,FALSE),0)</f>
        <v>0</v>
      </c>
      <c r="S47" s="345">
        <f>SUM(L47*70+M47*75+N47*120+O47*25+P47*60+Q47*45+R47*4)</f>
        <v>207.48000000000002</v>
      </c>
    </row>
    <row r="48" spans="1:19">
      <c r="A48" s="33" t="str">
        <f>"2"&amp;+$B47</f>
        <v>2鮮肉包</v>
      </c>
      <c r="B48" s="356"/>
      <c r="C48" s="31"/>
      <c r="D48" s="33"/>
      <c r="E48" s="31"/>
      <c r="F48" s="33"/>
      <c r="G48" s="353"/>
      <c r="H48" s="93">
        <f t="shared" ref="H48:H49" si="30">C48</f>
        <v>0</v>
      </c>
      <c r="I48" s="86">
        <f>(2*IFERROR(MID(D48,FIND("2L*",D48)+3,1),0)+1*IFERROR(MID(D48,FIND("1L*",D48)+3,2),0))/$A$1</f>
        <v>0</v>
      </c>
      <c r="J48" s="93">
        <f t="shared" ref="J48:J49" si="31">E48</f>
        <v>0</v>
      </c>
      <c r="K48" s="86" t="str">
        <f>IFERROR(IF(LEN(F48)=LENB(F48),ROUND(LEFT(F48,2*LEN(F48)-LENB(F48))/$A$1,3),((ROUND(LEFT(F48,2*LEN(F48)-LENB(F48))/$A$1,3))*VLOOKUP(J48,食材表!$A:$B,2,FALSE))),"")</f>
        <v/>
      </c>
      <c r="L48" s="345"/>
      <c r="M48" s="345"/>
      <c r="N48" s="345"/>
      <c r="O48" s="345"/>
      <c r="P48" s="345"/>
      <c r="Q48" s="345"/>
      <c r="R48" s="345"/>
      <c r="S48" s="345"/>
    </row>
    <row r="49" spans="1:19">
      <c r="A49" s="33" t="str">
        <f>"3"&amp;+$B47</f>
        <v>3鮮肉包</v>
      </c>
      <c r="B49" s="357"/>
      <c r="C49" s="28"/>
      <c r="D49" s="8"/>
      <c r="E49" s="28"/>
      <c r="F49" s="8"/>
      <c r="G49" s="354"/>
      <c r="H49" s="92">
        <f t="shared" si="30"/>
        <v>0</v>
      </c>
      <c r="I49" s="84" t="str">
        <f>IFERROR(IF(LEN(D49)=LENB(D49),ROUND(LEFT(D49,2*LEN(D49)-LENB(D49))/$A$1,3),((ROUND(LEFT(D49,2*LEN(D49)-LENB(D49))/$A$1,3))*VLOOKUP(H49,食材表!$A:$B,2,FALSE))),"")</f>
        <v/>
      </c>
      <c r="J49" s="92">
        <f t="shared" si="31"/>
        <v>0</v>
      </c>
      <c r="K49" s="85" t="str">
        <f>IFERROR(IF(LEN(F49)=LENB(F49),ROUND(LEFT(F49,2*LEN(F49)-LENB(F49))/$A$1,3),((ROUND(LEFT(F49,2*LEN(F49)-LENB(F49))/$A$1,3))*VLOOKUP(J49,食材表!$A:$B,2,FALSE))),"")</f>
        <v/>
      </c>
      <c r="L49" s="345"/>
      <c r="M49" s="345"/>
      <c r="N49" s="345"/>
      <c r="O49" s="345"/>
      <c r="P49" s="345"/>
      <c r="Q49" s="345"/>
      <c r="R49" s="345"/>
      <c r="S49" s="345"/>
    </row>
    <row r="50" spans="1:19">
      <c r="A50" s="33" t="str">
        <f>"1"&amp;+$B50</f>
        <v>1菜包</v>
      </c>
      <c r="B50" s="355" t="s">
        <v>1122</v>
      </c>
      <c r="C50" s="55" t="s">
        <v>1122</v>
      </c>
      <c r="D50" s="71" t="str">
        <f>$A$1+2&amp;+"個"</f>
        <v>52個</v>
      </c>
      <c r="E50" s="55"/>
      <c r="F50" s="33"/>
      <c r="G50" s="352" t="str">
        <f>B50</f>
        <v>菜包</v>
      </c>
      <c r="H50" s="91" t="str">
        <f>C50</f>
        <v>菜包</v>
      </c>
      <c r="I50" s="83">
        <f>IFERROR(IF(LEN(D50)=LENB(D50),ROUND(LEFT(D50,2*LEN(D50)-LENB(D50))/$A$1,3),((ROUND(LEFT(D50,2*LEN(D50)-LENB(D50))/$A$1,3))*VLOOKUP(H50,食材表!$A:$B,2,FALSE))),"")</f>
        <v>1.04</v>
      </c>
      <c r="J50" s="91">
        <f>E50</f>
        <v>0</v>
      </c>
      <c r="K50" s="83" t="str">
        <f>IFERROR(IF(LEN(F50)=LENB(F50),ROUND(LEFT(F50,2*LEN(F50)-LENB(F50))/$A$1,3),((ROUND(LEFT(F50,2*LEN(F50)-LENB(F50))/$A$1,3))*VLOOKUP(J50,食材表!$A:$B,2,FALSE))),"")</f>
        <v/>
      </c>
      <c r="L50" s="345">
        <f>IFERROR($I50*VLOOKUP($H50,食材表!$A:C,3,FALSE),0)+IFERROR($I51*VLOOKUP($H51,食材表!$A:C,3,FALSE),0)+IFERROR($I52*VLOOKUP($H52,食材表!$A:C,3,FALSE),0)+IFERROR($K50*VLOOKUP($J50,食材表!$A:C,3,FALSE),0)+IFERROR($K51*VLOOKUP($J51,食材表!$A:C,3,FALSE),0)+IFERROR($K52*VLOOKUP($J52,食材表!$A:C,3,FALSE),0)</f>
        <v>1.8720000000000001</v>
      </c>
      <c r="M50" s="345">
        <f>IFERROR($I50*VLOOKUP($H50,食材表!$A:D,4,FALSE),0)+IFERROR($I51*VLOOKUP($H51,食材表!$A:D,4,FALSE),0)+IFERROR($I52*VLOOKUP($H52,食材表!$A:D,4,FALSE),0)+IFERROR($K50*VLOOKUP($J50,食材表!$A:D,4,FALSE),0)+IFERROR($K51*VLOOKUP($J51,食材表!$A:D,4,FALSE),0)+IFERROR($K52*VLOOKUP($J52,食材表!$A:D,4,FALSE),0)</f>
        <v>0</v>
      </c>
      <c r="N50" s="345">
        <f>IFERROR($I50*VLOOKUP($H50,食材表!$A:E,5,FALSE),0)+IFERROR($I51*VLOOKUP($H51,食材表!$A:E,5,FALSE),0)+IFERROR($I52*VLOOKUP($H52,食材表!$A:E,5,FALSE),0)+IFERROR($K50*VLOOKUP($J50,食材表!$A:E,5,FALSE),0)+IFERROR($K51*VLOOKUP($J51,食材表!$A:E,5,FALSE),0)+IFERROR($K52*VLOOKUP($J52,食材表!$A:E,5,FALSE),0)</f>
        <v>0</v>
      </c>
      <c r="O50" s="345">
        <f>IFERROR($I50*VLOOKUP($H50,食材表!$A:F,6,FALSE),0)+IFERROR($I51*VLOOKUP($H51,食材表!$A:F,6,FALSE),0)+IFERROR($I52*VLOOKUP($H52,食材表!$A:F,6,FALSE),0)+IFERROR($K50*VLOOKUP($J50,食材表!$A:F,6,FALSE),0)+IFERROR($K51*VLOOKUP($J51,食材表!$A:F,6,FALSE),0)+IFERROR($K52*VLOOKUP($J52,食材表!$A:F,6,FALSE),0)</f>
        <v>0.52</v>
      </c>
      <c r="P50" s="345">
        <f>IFERROR($I50*VLOOKUP($H50,食材表!$A:G,7,FALSE),0)+IFERROR($I51*VLOOKUP($H51,食材表!$A:G,7,FALSE),0)+IFERROR($I52*VLOOKUP($H52,食材表!$A:G,7,FALSE),0)+IFERROR($K50*VLOOKUP($J50,食材表!$A:G,7,FALSE),0)+IFERROR($K51*VLOOKUP($J51,食材表!$A:G,7,FALSE),0)+IFERROR($K52*VLOOKUP($J52,食材表!$A:G,7,FALSE),0)</f>
        <v>0</v>
      </c>
      <c r="Q50" s="345">
        <f>IFERROR($I50*VLOOKUP($H50,食材表!$A:H,8,FALSE),0)+IFERROR($I51*VLOOKUP($H51,食材表!$A:H,8,FALSE),0)+IFERROR($I52*VLOOKUP($H52,食材表!$A:H,8,FALSE),0)+IFERROR($K50*VLOOKUP($J50,食材表!$A:H,8,FALSE),0)+IFERROR($K51*VLOOKUP($J51,食材表!$A:H,8,FALSE),0)+IFERROR($K52*VLOOKUP($J52,食材表!$A:H,8,FALSE),0)</f>
        <v>0.52</v>
      </c>
      <c r="R50" s="345">
        <f>IFERROR($I50*VLOOKUP($H50,食材表!$A:I,9,FALSE),0)+IFERROR($I51*VLOOKUP($H51,食材表!$A:I,9,FALSE),0)+IFERROR($I52*VLOOKUP($H52,食材表!$A:I,9,FALSE),0)+IFERROR($K50*VLOOKUP($J50,食材表!$A:I,9,FALSE),0)+IFERROR($K51*VLOOKUP($J51,食材表!$A:I,9,FALSE),0)+IFERROR($K52*VLOOKUP($J52,食材表!$A:I,9,FALSE),0)</f>
        <v>0</v>
      </c>
      <c r="S50" s="345">
        <f>SUM(L50*70+M50*75+N50*120+O50*25+P50*60+Q50*45+R50*4)</f>
        <v>167.44000000000003</v>
      </c>
    </row>
    <row r="51" spans="1:19">
      <c r="A51" s="33" t="str">
        <f>"2"&amp;+$B50</f>
        <v>2菜包</v>
      </c>
      <c r="B51" s="356"/>
      <c r="C51" s="31"/>
      <c r="D51" s="33"/>
      <c r="E51" s="31"/>
      <c r="F51" s="33"/>
      <c r="G51" s="353"/>
      <c r="H51" s="93">
        <f t="shared" ref="H51:H52" si="32">C51</f>
        <v>0</v>
      </c>
      <c r="I51" s="86">
        <f>(2*IFERROR(MID(D51,FIND("2L*",D51)+3,1),0)+1*IFERROR(MID(D51,FIND("1L*",D51)+3,2),0))/$A$1</f>
        <v>0</v>
      </c>
      <c r="J51" s="93">
        <f t="shared" ref="J51:J52" si="33">E51</f>
        <v>0</v>
      </c>
      <c r="K51" s="86" t="str">
        <f>IFERROR(IF(LEN(F51)=LENB(F51),ROUND(LEFT(F51,2*LEN(F51)-LENB(F51))/$A$1,3),((ROUND(LEFT(F51,2*LEN(F51)-LENB(F51))/$A$1,3))*VLOOKUP(J51,食材表!$A:$B,2,FALSE))),"")</f>
        <v/>
      </c>
      <c r="L51" s="345"/>
      <c r="M51" s="345"/>
      <c r="N51" s="345"/>
      <c r="O51" s="345"/>
      <c r="P51" s="345"/>
      <c r="Q51" s="345"/>
      <c r="R51" s="345"/>
      <c r="S51" s="345"/>
    </row>
    <row r="52" spans="1:19">
      <c r="A52" s="33" t="str">
        <f>"3"&amp;+$B50</f>
        <v>3菜包</v>
      </c>
      <c r="B52" s="357"/>
      <c r="C52" s="28"/>
      <c r="D52" s="8"/>
      <c r="E52" s="28"/>
      <c r="F52" s="8"/>
      <c r="G52" s="354"/>
      <c r="H52" s="92">
        <f t="shared" si="32"/>
        <v>0</v>
      </c>
      <c r="I52" s="84" t="str">
        <f>IFERROR(IF(LEN(D52)=LENB(D52),ROUND(LEFT(D52,2*LEN(D52)-LENB(D52))/$A$1,3),((ROUND(LEFT(D52,2*LEN(D52)-LENB(D52))/$A$1,3))*VLOOKUP(H52,食材表!$A:$B,2,FALSE))),"")</f>
        <v/>
      </c>
      <c r="J52" s="92">
        <f t="shared" si="33"/>
        <v>0</v>
      </c>
      <c r="K52" s="85" t="str">
        <f>IFERROR(IF(LEN(F52)=LENB(F52),ROUND(LEFT(F52,2*LEN(F52)-LENB(F52))/$A$1,3),((ROUND(LEFT(F52,2*LEN(F52)-LENB(F52))/$A$1,3))*VLOOKUP(J52,食材表!$A:$B,2,FALSE))),"")</f>
        <v/>
      </c>
      <c r="L52" s="345"/>
      <c r="M52" s="345"/>
      <c r="N52" s="345"/>
      <c r="O52" s="345"/>
      <c r="P52" s="345"/>
      <c r="Q52" s="345"/>
      <c r="R52" s="345"/>
      <c r="S52" s="345"/>
    </row>
    <row r="53" spans="1:19">
      <c r="A53" s="33" t="str">
        <f>"1"&amp;+$B53</f>
        <v>1菜包+陳皮茶</v>
      </c>
      <c r="B53" s="355" t="s">
        <v>1199</v>
      </c>
      <c r="C53" s="55" t="s">
        <v>1122</v>
      </c>
      <c r="D53" s="71" t="str">
        <f>$A$1+2&amp;+"個"</f>
        <v>52個</v>
      </c>
      <c r="E53" s="55"/>
      <c r="F53" s="33"/>
      <c r="G53" s="352" t="str">
        <f>B53</f>
        <v>菜包+陳皮茶</v>
      </c>
      <c r="H53" s="91" t="str">
        <f>C53</f>
        <v>菜包</v>
      </c>
      <c r="I53" s="83">
        <f>IFERROR(IF(LEN(D53)=LENB(D53),ROUND(LEFT(D53,2*LEN(D53)-LENB(D53))/$A$1,3),((ROUND(LEFT(D53,2*LEN(D53)-LENB(D53))/$A$1,3))*VLOOKUP(H53,食材表!$A:$B,2,FALSE))),"")</f>
        <v>1.04</v>
      </c>
      <c r="J53" s="91">
        <f>E53</f>
        <v>0</v>
      </c>
      <c r="K53" s="83" t="str">
        <f>IFERROR(IF(LEN(F53)=LENB(F53),ROUND(LEFT(F53,2*LEN(F53)-LENB(F53))/$A$1,3),((ROUND(LEFT(F53,2*LEN(F53)-LENB(F53))/$A$1,3))*VLOOKUP(J53,食材表!$A:$B,2,FALSE))),"")</f>
        <v/>
      </c>
      <c r="L53" s="345">
        <f>IFERROR($I53*VLOOKUP($H53,食材表!$A:C,3,FALSE),0)+IFERROR($I54*VLOOKUP($H54,食材表!$A:C,3,FALSE),0)+IFERROR($I55*VLOOKUP($H55,食材表!$A:C,3,FALSE),0)+IFERROR($K53*VLOOKUP($J53,食材表!$A:C,3,FALSE),0)+IFERROR($K54*VLOOKUP($J54,食材表!$A:C,3,FALSE),0)+IFERROR($K55*VLOOKUP($J55,食材表!$A:C,3,FALSE),0)</f>
        <v>1.8720000000000001</v>
      </c>
      <c r="M53" s="345">
        <f>IFERROR($I53*VLOOKUP($H53,食材表!$A:D,4,FALSE),0)+IFERROR($I54*VLOOKUP($H54,食材表!$A:D,4,FALSE),0)+IFERROR($I55*VLOOKUP($H55,食材表!$A:D,4,FALSE),0)+IFERROR($K53*VLOOKUP($J53,食材表!$A:D,4,FALSE),0)+IFERROR($K54*VLOOKUP($J54,食材表!$A:D,4,FALSE),0)+IFERROR($K55*VLOOKUP($J55,食材表!$A:D,4,FALSE),0)</f>
        <v>0</v>
      </c>
      <c r="N53" s="345">
        <f>IFERROR($I53*VLOOKUP($H53,食材表!$A:E,5,FALSE),0)+IFERROR($I54*VLOOKUP($H54,食材表!$A:E,5,FALSE),0)+IFERROR($I55*VLOOKUP($H55,食材表!$A:E,5,FALSE),0)+IFERROR($K53*VLOOKUP($J53,食材表!$A:E,5,FALSE),0)+IFERROR($K54*VLOOKUP($J54,食材表!$A:E,5,FALSE),0)+IFERROR($K55*VLOOKUP($J55,食材表!$A:E,5,FALSE),0)</f>
        <v>0</v>
      </c>
      <c r="O53" s="345">
        <f>IFERROR($I53*VLOOKUP($H53,食材表!$A:F,6,FALSE),0)+IFERROR($I54*VLOOKUP($H54,食材表!$A:F,6,FALSE),0)+IFERROR($I55*VLOOKUP($H55,食材表!$A:F,6,FALSE),0)+IFERROR($K53*VLOOKUP($J53,食材表!$A:F,6,FALSE),0)+IFERROR($K54*VLOOKUP($J54,食材表!$A:F,6,FALSE),0)+IFERROR($K55*VLOOKUP($J55,食材表!$A:F,6,FALSE),0)</f>
        <v>0.52</v>
      </c>
      <c r="P53" s="345">
        <f>IFERROR($I53*VLOOKUP($H53,食材表!$A:G,7,FALSE),0)+IFERROR($I54*VLOOKUP($H54,食材表!$A:G,7,FALSE),0)+IFERROR($I55*VLOOKUP($H55,食材表!$A:G,7,FALSE),0)+IFERROR($K53*VLOOKUP($J53,食材表!$A:G,7,FALSE),0)+IFERROR($K54*VLOOKUP($J54,食材表!$A:G,7,FALSE),0)+IFERROR($K55*VLOOKUP($J55,食材表!$A:G,7,FALSE),0)</f>
        <v>0</v>
      </c>
      <c r="Q53" s="345">
        <f>IFERROR($I53*VLOOKUP($H53,食材表!$A:H,8,FALSE),0)+IFERROR($I54*VLOOKUP($H54,食材表!$A:H,8,FALSE),0)+IFERROR($I55*VLOOKUP($H55,食材表!$A:H,8,FALSE),0)+IFERROR($K53*VLOOKUP($J53,食材表!$A:H,8,FALSE),0)+IFERROR($K54*VLOOKUP($J54,食材表!$A:H,8,FALSE),0)+IFERROR($K55*VLOOKUP($J55,食材表!$A:H,8,FALSE),0)</f>
        <v>0.52</v>
      </c>
      <c r="R53" s="345">
        <f>IFERROR($I53*VLOOKUP($H53,食材表!$A:I,9,FALSE),0)+IFERROR($I54*VLOOKUP($H54,食材表!$A:I,9,FALSE),0)+IFERROR($I55*VLOOKUP($H55,食材表!$A:I,9,FALSE),0)+IFERROR($K53*VLOOKUP($J53,食材表!$A:I,9,FALSE),0)+IFERROR($K54*VLOOKUP($J54,食材表!$A:I,9,FALSE),0)+IFERROR($K55*VLOOKUP($J55,食材表!$A:I,9,FALSE),0)</f>
        <v>0</v>
      </c>
      <c r="S53" s="345">
        <f>SUM(L53*70+M53*75+N53*120+O53*25+P53*60+Q53*45+R53*4)</f>
        <v>167.44000000000003</v>
      </c>
    </row>
    <row r="54" spans="1:19">
      <c r="A54" s="33" t="str">
        <f>"2"&amp;+$B53</f>
        <v>2菜包+陳皮茶</v>
      </c>
      <c r="B54" s="356"/>
      <c r="C54" s="31" t="s">
        <v>1194</v>
      </c>
      <c r="D54" s="33" t="s">
        <v>203</v>
      </c>
      <c r="E54" s="31"/>
      <c r="F54" s="33"/>
      <c r="G54" s="353"/>
      <c r="H54" s="93" t="str">
        <f t="shared" ref="H54:H55" si="34">C54</f>
        <v>陳皮茶</v>
      </c>
      <c r="I54" s="86">
        <f>(2*IFERROR(MID(D54,FIND("2L*",D54)+3,1),0)+1*IFERROR(MID(D54,FIND("1L*",D54)+3,2),0))/$A$1</f>
        <v>0</v>
      </c>
      <c r="J54" s="93">
        <f t="shared" ref="J54:J55" si="35">E54</f>
        <v>0</v>
      </c>
      <c r="K54" s="86" t="str">
        <f>IFERROR(IF(LEN(F54)=LENB(F54),ROUND(LEFT(F54,2*LEN(F54)-LENB(F54))/$A$1,3),((ROUND(LEFT(F54,2*LEN(F54)-LENB(F54))/$A$1,3))*VLOOKUP(J54,食材表!$A:$B,2,FALSE))),"")</f>
        <v/>
      </c>
      <c r="L54" s="345"/>
      <c r="M54" s="345"/>
      <c r="N54" s="345"/>
      <c r="O54" s="345"/>
      <c r="P54" s="345"/>
      <c r="Q54" s="345"/>
      <c r="R54" s="345"/>
      <c r="S54" s="345"/>
    </row>
    <row r="55" spans="1:19">
      <c r="A55" s="33" t="str">
        <f>"3"&amp;+$B53</f>
        <v>3菜包+陳皮茶</v>
      </c>
      <c r="B55" s="357"/>
      <c r="C55" s="28"/>
      <c r="D55" s="8"/>
      <c r="E55" s="28"/>
      <c r="F55" s="8"/>
      <c r="G55" s="354"/>
      <c r="H55" s="92">
        <f t="shared" si="34"/>
        <v>0</v>
      </c>
      <c r="I55" s="84" t="str">
        <f>IFERROR(IF(LEN(D55)=LENB(D55),ROUND(LEFT(D55,2*LEN(D55)-LENB(D55))/$A$1,3),((ROUND(LEFT(D55,2*LEN(D55)-LENB(D55))/$A$1,3))*VLOOKUP(H55,食材表!$A:$B,2,FALSE))),"")</f>
        <v/>
      </c>
      <c r="J55" s="92">
        <f t="shared" si="35"/>
        <v>0</v>
      </c>
      <c r="K55" s="85" t="str">
        <f>IFERROR(IF(LEN(F55)=LENB(F55),ROUND(LEFT(F55,2*LEN(F55)-LENB(F55))/$A$1,3),((ROUND(LEFT(F55,2*LEN(F55)-LENB(F55))/$A$1,3))*VLOOKUP(J55,食材表!$A:$B,2,FALSE))),"")</f>
        <v/>
      </c>
      <c r="L55" s="345"/>
      <c r="M55" s="345"/>
      <c r="N55" s="345"/>
      <c r="O55" s="345"/>
      <c r="P55" s="345"/>
      <c r="Q55" s="345"/>
      <c r="R55" s="345"/>
      <c r="S55" s="345"/>
    </row>
    <row r="56" spans="1:19">
      <c r="A56" s="33" t="str">
        <f>"1"&amp;+$B56</f>
        <v>1馬來糕</v>
      </c>
      <c r="B56" s="349" t="s">
        <v>940</v>
      </c>
      <c r="C56" s="60" t="s">
        <v>940</v>
      </c>
      <c r="D56" s="71" t="str">
        <f>$A$1+2&amp;+"個"</f>
        <v>52個</v>
      </c>
      <c r="E56" s="60"/>
      <c r="F56" s="36"/>
      <c r="G56" s="346" t="str">
        <f>B56</f>
        <v>馬來糕</v>
      </c>
      <c r="H56" s="91" t="str">
        <f>C56</f>
        <v>馬來糕</v>
      </c>
      <c r="I56" s="83" t="str">
        <f>IFERROR(IF(LEN(D56)=LENB(D56),ROUND(LEFT(D56,2*LEN(D56)-LENB(D56))/$A$1,3),((ROUND(LEFT(D56,2*LEN(D56)-LENB(D56))/$A$1,3))*VLOOKUP(H56,食材表!$A:$B,2,FALSE))),"")</f>
        <v/>
      </c>
      <c r="J56" s="91">
        <f>E56</f>
        <v>0</v>
      </c>
      <c r="K56" s="83" t="str">
        <f>IFERROR(IF(LEN(F56)=LENB(F56),ROUND(LEFT(F56,2*LEN(F56)-LENB(F56))/$A$1,3),((ROUND(LEFT(F56,2*LEN(F56)-LENB(F56))/$A$1,3))*VLOOKUP(J56,食材表!$A:$B,2,FALSE))),"")</f>
        <v/>
      </c>
      <c r="L56" s="342">
        <f>IFERROR($I56*VLOOKUP($H56,食材表!$A:C,3,FALSE),0)+IFERROR($I57*VLOOKUP($H57,食材表!$A:C,3,FALSE),0)+IFERROR($I58*VLOOKUP($H58,食材表!$A:C,3,FALSE),0)+IFERROR($K56*VLOOKUP($J56,食材表!$A:C,3,FALSE),0)+IFERROR($K57*VLOOKUP($J57,食材表!$A:C,3,FALSE),0)+IFERROR($K58*VLOOKUP($J58,食材表!$A:C,3,FALSE),0)</f>
        <v>0</v>
      </c>
      <c r="M56" s="342">
        <f>IFERROR($I56*VLOOKUP($H56,食材表!$A:D,4,FALSE),0)+IFERROR($I57*VLOOKUP($H57,食材表!$A:D,4,FALSE),0)+IFERROR($I58*VLOOKUP($H58,食材表!$A:D,4,FALSE),0)+IFERROR($K56*VLOOKUP($J56,食材表!$A:D,4,FALSE),0)+IFERROR($K57*VLOOKUP($J57,食材表!$A:D,4,FALSE),0)+IFERROR($K58*VLOOKUP($J58,食材表!$A:D,4,FALSE),0)</f>
        <v>0</v>
      </c>
      <c r="N56" s="342">
        <f>IFERROR($I56*VLOOKUP($H56,食材表!$A:E,5,FALSE),0)+IFERROR($I57*VLOOKUP($H57,食材表!$A:E,5,FALSE),0)+IFERROR($I58*VLOOKUP($H58,食材表!$A:E,5,FALSE),0)+IFERROR($K56*VLOOKUP($J56,食材表!$A:E,5,FALSE),0)+IFERROR($K57*VLOOKUP($J57,食材表!$A:E,5,FALSE),0)+IFERROR($K58*VLOOKUP($J58,食材表!$A:E,5,FALSE),0)</f>
        <v>0</v>
      </c>
      <c r="O56" s="342">
        <f>IFERROR($I56*VLOOKUP($H56,食材表!$A:F,6,FALSE),0)+IFERROR($I57*VLOOKUP($H57,食材表!$A:F,6,FALSE),0)+IFERROR($I58*VLOOKUP($H58,食材表!$A:F,6,FALSE),0)+IFERROR($K56*VLOOKUP($J56,食材表!$A:F,6,FALSE),0)+IFERROR($K57*VLOOKUP($J57,食材表!$A:F,6,FALSE),0)+IFERROR($K58*VLOOKUP($J58,食材表!$A:F,6,FALSE),0)</f>
        <v>0</v>
      </c>
      <c r="P56" s="342">
        <f>IFERROR($I56*VLOOKUP($H56,食材表!$A:G,7,FALSE),0)+IFERROR($I57*VLOOKUP($H57,食材表!$A:G,7,FALSE),0)+IFERROR($I58*VLOOKUP($H58,食材表!$A:G,7,FALSE),0)+IFERROR($K56*VLOOKUP($J56,食材表!$A:G,7,FALSE),0)+IFERROR($K57*VLOOKUP($J57,食材表!$A:G,7,FALSE),0)+IFERROR($K58*VLOOKUP($J58,食材表!$A:G,7,FALSE),0)</f>
        <v>0</v>
      </c>
      <c r="Q56" s="342">
        <f>IFERROR($I56*VLOOKUP($H56,食材表!$A:H,8,FALSE),0)+IFERROR($I57*VLOOKUP($H57,食材表!$A:H,8,FALSE),0)+IFERROR($I58*VLOOKUP($H58,食材表!$A:H,8,FALSE),0)+IFERROR($K56*VLOOKUP($J56,食材表!$A:H,8,FALSE),0)+IFERROR($K57*VLOOKUP($J57,食材表!$A:H,8,FALSE),0)+IFERROR($K58*VLOOKUP($J58,食材表!$A:H,8,FALSE),0)</f>
        <v>0</v>
      </c>
      <c r="R56" s="342">
        <f>IFERROR($I56*VLOOKUP($H56,食材表!$A:I,9,FALSE),0)+IFERROR($I57*VLOOKUP($H57,食材表!$A:I,9,FALSE),0)+IFERROR($I58*VLOOKUP($H58,食材表!$A:I,9,FALSE),0)+IFERROR($K56*VLOOKUP($J56,食材表!$A:I,9,FALSE),0)+IFERROR($K57*VLOOKUP($J57,食材表!$A:I,9,FALSE),0)+IFERROR($K58*VLOOKUP($J58,食材表!$A:I,9,FALSE),0)</f>
        <v>0</v>
      </c>
      <c r="S56" s="342">
        <f>SUM(L56*70+M56*75+N56*120+O56*25+P56*60+Q56*45+R56*4)</f>
        <v>0</v>
      </c>
    </row>
    <row r="57" spans="1:19">
      <c r="A57" s="33" t="str">
        <f>"2"&amp;+$B56</f>
        <v>2馬來糕</v>
      </c>
      <c r="B57" s="350"/>
      <c r="C57" s="22"/>
      <c r="D57" s="36"/>
      <c r="E57" s="22"/>
      <c r="F57" s="36"/>
      <c r="G57" s="347"/>
      <c r="H57" s="93">
        <f t="shared" ref="H57:H58" si="36">C57</f>
        <v>0</v>
      </c>
      <c r="I57" s="86" t="str">
        <f>IFERROR(IF(LEN(D57)=LENB(D57),ROUND(LEFT(D57,2*LEN(D57)-LENB(D57))/$A$1,3),((ROUND(LEFT(D57,2*LEN(D57)-LENB(D57))/$A$1,3))*VLOOKUP(H57,食材表!$A:$B,2,FALSE))),"")</f>
        <v/>
      </c>
      <c r="J57" s="93">
        <f t="shared" ref="J57:J58" si="37">E57</f>
        <v>0</v>
      </c>
      <c r="K57" s="86" t="str">
        <f>IFERROR(IF(LEN(F57)=LENB(F57),ROUND(LEFT(F57,2*LEN(F57)-LENB(F57))/$A$1,3),((ROUND(LEFT(F57,2*LEN(F57)-LENB(F57))/$A$1,3))*VLOOKUP(J57,食材表!$A:$B,2,FALSE))),"")</f>
        <v/>
      </c>
      <c r="L57" s="343"/>
      <c r="M57" s="343"/>
      <c r="N57" s="343"/>
      <c r="O57" s="343"/>
      <c r="P57" s="343"/>
      <c r="Q57" s="343"/>
      <c r="R57" s="343"/>
      <c r="S57" s="343"/>
    </row>
    <row r="58" spans="1:19">
      <c r="A58" s="33" t="str">
        <f>"3"&amp;+$B56</f>
        <v>3馬來糕</v>
      </c>
      <c r="B58" s="351"/>
      <c r="C58" s="26"/>
      <c r="D58" s="37"/>
      <c r="E58" s="26"/>
      <c r="F58" s="37"/>
      <c r="G58" s="348"/>
      <c r="H58" s="92">
        <f t="shared" si="36"/>
        <v>0</v>
      </c>
      <c r="I58" s="84" t="str">
        <f>IFERROR(IF(LEN(D58)=LENB(D58),ROUND(LEFT(D58,2*LEN(D58)-LENB(D58))/$A$1,3),((ROUND(LEFT(D58,2*LEN(D58)-LENB(D58))/$A$1,3))*VLOOKUP(H58,食材表!$A:$B,2,FALSE))),"")</f>
        <v/>
      </c>
      <c r="J58" s="92">
        <f t="shared" si="37"/>
        <v>0</v>
      </c>
      <c r="K58" s="85" t="str">
        <f>IFERROR(IF(LEN(F58)=LENB(F58),ROUND(LEFT(F58,2*LEN(F58)-LENB(F58))/$A$1,3),((ROUND(LEFT(F58,2*LEN(F58)-LENB(F58))/$A$1,3))*VLOOKUP(J58,食材表!$A:$B,2,FALSE))),"")</f>
        <v/>
      </c>
      <c r="L58" s="344"/>
      <c r="M58" s="344"/>
      <c r="N58" s="344"/>
      <c r="O58" s="344"/>
      <c r="P58" s="344"/>
      <c r="Q58" s="344"/>
      <c r="R58" s="344"/>
      <c r="S58" s="344"/>
    </row>
    <row r="59" spans="1:19">
      <c r="A59" s="33" t="str">
        <f>"1"&amp;+$B59</f>
        <v>1黑糖饅頭</v>
      </c>
      <c r="B59" s="377" t="s">
        <v>296</v>
      </c>
      <c r="C59" s="57" t="s">
        <v>296</v>
      </c>
      <c r="D59" s="71" t="str">
        <f>$A$1+2&amp;+"個"</f>
        <v>52個</v>
      </c>
      <c r="E59" s="55"/>
      <c r="F59" s="33"/>
      <c r="G59" s="365" t="str">
        <f>B59</f>
        <v>黑糖饅頭</v>
      </c>
      <c r="H59" s="91" t="str">
        <f>C59</f>
        <v>黑糖饅頭</v>
      </c>
      <c r="I59" s="83">
        <f>IFERROR(IF(LEN(D59)=LENB(D59),ROUND(LEFT(D59,2*LEN(D59)-LENB(D59))/$A$1,3),((ROUND(LEFT(D59,2*LEN(D59)-LENB(D59))/$A$1,3))*VLOOKUP(H59,食材表!$A:$B,2,FALSE))),"")</f>
        <v>1.04</v>
      </c>
      <c r="J59" s="91">
        <f>E59</f>
        <v>0</v>
      </c>
      <c r="K59" s="83" t="str">
        <f>IFERROR(IF(LEN(F59)=LENB(F59),ROUND(LEFT(F59,2*LEN(F59)-LENB(F59))/$A$1,3),((ROUND(LEFT(F59,2*LEN(F59)-LENB(F59))/$A$1,3))*VLOOKUP(J59,食材表!$A:$B,2,FALSE))),"")</f>
        <v/>
      </c>
      <c r="L59" s="342">
        <f>IFERROR($I59*VLOOKUP($H59,食材表!$A:C,3,FALSE),0)+IFERROR($I60*VLOOKUP($H60,食材表!$A:C,3,FALSE),0)+IFERROR($I61*VLOOKUP($H61,食材表!$A:C,3,FALSE),0)+IFERROR($K59*VLOOKUP($J59,食材表!$A:C,3,FALSE),0)+IFERROR($K60*VLOOKUP($J60,食材表!$A:C,3,FALSE),0)+IFERROR($K61*VLOOKUP($J61,食材表!$A:C,3,FALSE),0)</f>
        <v>0.83200000000000007</v>
      </c>
      <c r="M59" s="342">
        <f>IFERROR($I59*VLOOKUP($H59,食材表!$A:D,4,FALSE),0)+IFERROR($I60*VLOOKUP($H60,食材表!$A:D,4,FALSE),0)+IFERROR($I61*VLOOKUP($H61,食材表!$A:D,4,FALSE),0)+IFERROR($K59*VLOOKUP($J59,食材表!$A:D,4,FALSE),0)+IFERROR($K60*VLOOKUP($J60,食材表!$A:D,4,FALSE),0)+IFERROR($K61*VLOOKUP($J61,食材表!$A:D,4,FALSE),0)</f>
        <v>0</v>
      </c>
      <c r="N59" s="342">
        <f>IFERROR($I59*VLOOKUP($H59,食材表!$A:E,5,FALSE),0)+IFERROR($I60*VLOOKUP($H60,食材表!$A:E,5,FALSE),0)+IFERROR($I61*VLOOKUP($H61,食材表!$A:E,5,FALSE),0)+IFERROR($K59*VLOOKUP($J59,食材表!$A:E,5,FALSE),0)+IFERROR($K60*VLOOKUP($J60,食材表!$A:E,5,FALSE),0)+IFERROR($K61*VLOOKUP($J61,食材表!$A:E,5,FALSE),0)</f>
        <v>0</v>
      </c>
      <c r="O59" s="342">
        <f>IFERROR($I59*VLOOKUP($H59,食材表!$A:F,6,FALSE),0)+IFERROR($I60*VLOOKUP($H60,食材表!$A:F,6,FALSE),0)+IFERROR($I61*VLOOKUP($H61,食材表!$A:F,6,FALSE),0)+IFERROR($K59*VLOOKUP($J59,食材表!$A:F,6,FALSE),0)+IFERROR($K60*VLOOKUP($J60,食材表!$A:F,6,FALSE),0)+IFERROR($K61*VLOOKUP($J61,食材表!$A:F,6,FALSE),0)</f>
        <v>0</v>
      </c>
      <c r="P59" s="342">
        <f>IFERROR($I59*VLOOKUP($H59,食材表!$A:G,7,FALSE),0)+IFERROR($I60*VLOOKUP($H60,食材表!$A:G,7,FALSE),0)+IFERROR($I61*VLOOKUP($H61,食材表!$A:G,7,FALSE),0)+IFERROR($K59*VLOOKUP($J59,食材表!$A:G,7,FALSE),0)+IFERROR($K60*VLOOKUP($J60,食材表!$A:G,7,FALSE),0)+IFERROR($K61*VLOOKUP($J61,食材表!$A:G,7,FALSE),0)</f>
        <v>0</v>
      </c>
      <c r="Q59" s="342">
        <f>IFERROR($I59*VLOOKUP($H59,食材表!$A:H,8,FALSE),0)+IFERROR($I60*VLOOKUP($H60,食材表!$A:H,8,FALSE),0)+IFERROR($I61*VLOOKUP($H61,食材表!$A:H,8,FALSE),0)+IFERROR($K59*VLOOKUP($J59,食材表!$A:H,8,FALSE),0)+IFERROR($K60*VLOOKUP($J60,食材表!$A:H,8,FALSE),0)+IFERROR($K61*VLOOKUP($J61,食材表!$A:H,8,FALSE),0)</f>
        <v>0</v>
      </c>
      <c r="R59" s="342">
        <f>IFERROR($I59*VLOOKUP($H59,食材表!$A:I,9,FALSE),0)+IFERROR($I60*VLOOKUP($H60,食材表!$A:I,9,FALSE),0)+IFERROR($I61*VLOOKUP($H61,食材表!$A:I,9,FALSE),0)+IFERROR($K59*VLOOKUP($J59,食材表!$A:I,9,FALSE),0)+IFERROR($K60*VLOOKUP($J60,食材表!$A:I,9,FALSE),0)+IFERROR($K61*VLOOKUP($J61,食材表!$A:I,9,FALSE),0)</f>
        <v>0</v>
      </c>
      <c r="S59" s="342">
        <f>SUM(L59*70+M59*75+N59*120+O59*25+P59*60+Q59*45+R59*4)</f>
        <v>58.24</v>
      </c>
    </row>
    <row r="60" spans="1:19">
      <c r="A60" s="33" t="str">
        <f>"2"&amp;+$B59</f>
        <v>2黑糖饅頭</v>
      </c>
      <c r="B60" s="378"/>
      <c r="C60" s="32"/>
      <c r="D60" s="48"/>
      <c r="E60" s="31"/>
      <c r="F60" s="33"/>
      <c r="G60" s="366"/>
      <c r="H60" s="93">
        <f t="shared" ref="H60:H61" si="38">C60</f>
        <v>0</v>
      </c>
      <c r="I60" s="86" t="str">
        <f>IFERROR(IF(LEN(D60)=LENB(D60),ROUND(LEFT(D60,2*LEN(D60)-LENB(D60))/$A$1,3),((ROUND(LEFT(D60,2*LEN(D60)-LENB(D60))/$A$1,3))*VLOOKUP(H60,食材表!$A:$B,2,FALSE))),"")</f>
        <v/>
      </c>
      <c r="J60" s="93">
        <f t="shared" ref="J60:J61" si="39">E60</f>
        <v>0</v>
      </c>
      <c r="K60" s="86" t="str">
        <f>IFERROR(IF(LEN(F60)=LENB(F60),ROUND(LEFT(F60,2*LEN(F60)-LENB(F60))/$A$1,3),((ROUND(LEFT(F60,2*LEN(F60)-LENB(F60))/$A$1,3))*VLOOKUP(J60,食材表!$A:$B,2,FALSE))),"")</f>
        <v/>
      </c>
      <c r="L60" s="343"/>
      <c r="M60" s="343"/>
      <c r="N60" s="343"/>
      <c r="O60" s="343"/>
      <c r="P60" s="343"/>
      <c r="Q60" s="343"/>
      <c r="R60" s="343"/>
      <c r="S60" s="343"/>
    </row>
    <row r="61" spans="1:19">
      <c r="A61" s="33" t="str">
        <f>"3"&amp;+$B59</f>
        <v>3黑糖饅頭</v>
      </c>
      <c r="B61" s="379"/>
      <c r="C61" s="28"/>
      <c r="D61" s="8"/>
      <c r="E61" s="28"/>
      <c r="F61" s="8"/>
      <c r="G61" s="367"/>
      <c r="H61" s="92">
        <f t="shared" si="38"/>
        <v>0</v>
      </c>
      <c r="I61" s="84">
        <f>(2*IFERROR(MID(D61,FIND("2L*",D61)+3,1),0)+1*IFERROR(MID(D61,FIND("1L*",D61)+3,2),0))/$A$1</f>
        <v>0</v>
      </c>
      <c r="J61" s="92">
        <f t="shared" si="39"/>
        <v>0</v>
      </c>
      <c r="K61" s="85" t="str">
        <f>IFERROR(IF(LEN(F61)=LENB(F61),ROUND(LEFT(F61,2*LEN(F61)-LENB(F61))/$A$1,3),((ROUND(LEFT(F61,2*LEN(F61)-LENB(F61))/$A$1,3))*VLOOKUP(J61,食材表!$A:$B,2,FALSE))),"")</f>
        <v/>
      </c>
      <c r="L61" s="344"/>
      <c r="M61" s="344"/>
      <c r="N61" s="344"/>
      <c r="O61" s="344"/>
      <c r="P61" s="344"/>
      <c r="Q61" s="344"/>
      <c r="R61" s="344"/>
      <c r="S61" s="344"/>
    </row>
    <row r="62" spans="1:19">
      <c r="A62" s="33" t="str">
        <f>"1"&amp;+$B62</f>
        <v>1全麥吐司</v>
      </c>
      <c r="B62" s="349" t="s">
        <v>956</v>
      </c>
      <c r="C62" s="57" t="s">
        <v>956</v>
      </c>
      <c r="D62" s="71" t="str">
        <f>$A$1+2&amp;+"片"</f>
        <v>52片</v>
      </c>
      <c r="E62" s="55"/>
      <c r="F62" s="40"/>
      <c r="G62" s="358" t="str">
        <f>B62</f>
        <v>全麥吐司</v>
      </c>
      <c r="H62" s="91" t="str">
        <f>C62</f>
        <v>全麥吐司</v>
      </c>
      <c r="I62" s="83">
        <f>IFERROR(IF(LEN(D62)=LENB(D62),ROUND(LEFT(D62,2*LEN(D62)-LENB(D62))/$A$1,3),((ROUND(LEFT(D62,2*LEN(D62)-LENB(D62))/$A$1,3))*VLOOKUP(H62,食材表!$A:$B,2,FALSE))),"")</f>
        <v>1.04</v>
      </c>
      <c r="J62" s="91">
        <f>E62</f>
        <v>0</v>
      </c>
      <c r="K62" s="83" t="str">
        <f>IFERROR(IF(LEN(F62)=LENB(F62),ROUND(LEFT(F62,2*LEN(F62)-LENB(F62))/$A$1,3),((ROUND(LEFT(F62,2*LEN(F62)-LENB(F62))/$A$1,3))*VLOOKUP(J62,食材表!$A:$B,2,FALSE))),"")</f>
        <v/>
      </c>
      <c r="L62" s="342">
        <f>IFERROR($I62*VLOOKUP($H62,食材表!$A:C,3,FALSE),0)+IFERROR($I63*VLOOKUP($H63,食材表!$A:C,3,FALSE),0)+IFERROR($I64*VLOOKUP($H64,食材表!$A:C,3,FALSE),0)+IFERROR($K62*VLOOKUP($J62,食材表!$A:C,3,FALSE),0)+IFERROR($K63*VLOOKUP($J63,食材表!$A:C,3,FALSE),0)+IFERROR($K64*VLOOKUP($J64,食材表!$A:C,3,FALSE),0)</f>
        <v>2.08</v>
      </c>
      <c r="M62" s="342">
        <f>IFERROR($I62*VLOOKUP($H62,食材表!$A:D,4,FALSE),0)+IFERROR($I63*VLOOKUP($H63,食材表!$A:D,4,FALSE),0)+IFERROR($I64*VLOOKUP($H64,食材表!$A:D,4,FALSE),0)+IFERROR($K62*VLOOKUP($J62,食材表!$A:D,4,FALSE),0)+IFERROR($K63*VLOOKUP($J63,食材表!$A:D,4,FALSE),0)+IFERROR($K64*VLOOKUP($J64,食材表!$A:D,4,FALSE),0)</f>
        <v>0</v>
      </c>
      <c r="N62" s="342">
        <f>IFERROR($I62*VLOOKUP($H62,食材表!$A:E,5,FALSE),0)+IFERROR($I63*VLOOKUP($H63,食材表!$A:E,5,FALSE),0)+IFERROR($I64*VLOOKUP($H64,食材表!$A:E,5,FALSE),0)+IFERROR($K62*VLOOKUP($J62,食材表!$A:E,5,FALSE),0)+IFERROR($K63*VLOOKUP($J63,食材表!$A:E,5,FALSE),0)+IFERROR($K64*VLOOKUP($J64,食材表!$A:E,5,FALSE),0)</f>
        <v>0</v>
      </c>
      <c r="O62" s="342">
        <f>IFERROR($I62*VLOOKUP($H62,食材表!$A:F,6,FALSE),0)+IFERROR($I63*VLOOKUP($H63,食材表!$A:F,6,FALSE),0)+IFERROR($I64*VLOOKUP($H64,食材表!$A:F,6,FALSE),0)+IFERROR($K62*VLOOKUP($J62,食材表!$A:F,6,FALSE),0)+IFERROR($K63*VLOOKUP($J63,食材表!$A:F,6,FALSE),0)+IFERROR($K64*VLOOKUP($J64,食材表!$A:F,6,FALSE),0)</f>
        <v>0</v>
      </c>
      <c r="P62" s="342">
        <f>IFERROR($I62*VLOOKUP($H62,食材表!$A:G,7,FALSE),0)+IFERROR($I63*VLOOKUP($H63,食材表!$A:G,7,FALSE),0)+IFERROR($I64*VLOOKUP($H64,食材表!$A:G,7,FALSE),0)+IFERROR($K62*VLOOKUP($J62,食材表!$A:G,7,FALSE),0)+IFERROR($K63*VLOOKUP($J63,食材表!$A:G,7,FALSE),0)+IFERROR($K64*VLOOKUP($J64,食材表!$A:G,7,FALSE),0)</f>
        <v>0</v>
      </c>
      <c r="Q62" s="342">
        <f>IFERROR($I62*VLOOKUP($H62,食材表!$A:H,8,FALSE),0)+IFERROR($I63*VLOOKUP($H63,食材表!$A:H,8,FALSE),0)+IFERROR($I64*VLOOKUP($H64,食材表!$A:H,8,FALSE),0)+IFERROR($K62*VLOOKUP($J62,食材表!$A:H,8,FALSE),0)+IFERROR($K63*VLOOKUP($J63,食材表!$A:H,8,FALSE),0)+IFERROR($K64*VLOOKUP($J64,食材表!$A:H,8,FALSE),0)</f>
        <v>0</v>
      </c>
      <c r="R62" s="342">
        <f>IFERROR($I62*VLOOKUP($H62,食材表!$A:I,9,FALSE),0)+IFERROR($I63*VLOOKUP($H63,食材表!$A:I,9,FALSE),0)+IFERROR($I64*VLOOKUP($H64,食材表!$A:I,9,FALSE),0)+IFERROR($K62*VLOOKUP($J62,食材表!$A:I,9,FALSE),0)+IFERROR($K63*VLOOKUP($J63,食材表!$A:I,9,FALSE),0)+IFERROR($K64*VLOOKUP($J64,食材表!$A:I,9,FALSE),0)</f>
        <v>0</v>
      </c>
      <c r="S62" s="342">
        <f>SUM(L62*70+M62*75+N62*120+O62*25+P62*60+Q62*45+R62*4)</f>
        <v>145.6</v>
      </c>
    </row>
    <row r="63" spans="1:19">
      <c r="A63" s="33" t="str">
        <f>"2"&amp;+$B62</f>
        <v>2全麥吐司</v>
      </c>
      <c r="B63" s="350"/>
      <c r="C63" s="35"/>
      <c r="D63" s="40"/>
      <c r="E63" s="31"/>
      <c r="F63" s="33"/>
      <c r="G63" s="353"/>
      <c r="H63" s="93">
        <f t="shared" ref="H63:H64" si="40">C63</f>
        <v>0</v>
      </c>
      <c r="I63" s="86">
        <f>(2*IFERROR(MID(D63,FIND("2L*",D63)+3,1),0)+1*IFERROR(MID(D63,FIND("1L*",D63)+3,2),0))/$A$1</f>
        <v>0</v>
      </c>
      <c r="J63" s="93">
        <f t="shared" ref="J63:J64" si="41">E63</f>
        <v>0</v>
      </c>
      <c r="K63" s="86" t="str">
        <f>IFERROR(IF(LEN(F63)=LENB(F63),ROUND(LEFT(F63,2*LEN(F63)-LENB(F63))/$A$1,3),((ROUND(LEFT(F63,2*LEN(F63)-LENB(F63))/$A$1,3))*VLOOKUP(J63,食材表!$A:$B,2,FALSE))),"")</f>
        <v/>
      </c>
      <c r="L63" s="343"/>
      <c r="M63" s="343"/>
      <c r="N63" s="343"/>
      <c r="O63" s="343"/>
      <c r="P63" s="343"/>
      <c r="Q63" s="343"/>
      <c r="R63" s="343"/>
      <c r="S63" s="343"/>
    </row>
    <row r="64" spans="1:19">
      <c r="A64" s="33" t="str">
        <f>"3"&amp;+$B62</f>
        <v>3全麥吐司</v>
      </c>
      <c r="B64" s="351"/>
      <c r="C64" s="28"/>
      <c r="D64" s="8"/>
      <c r="E64" s="28"/>
      <c r="F64" s="8"/>
      <c r="G64" s="354"/>
      <c r="H64" s="92">
        <f t="shared" si="40"/>
        <v>0</v>
      </c>
      <c r="I64" s="84" t="str">
        <f>IFERROR(IF(LEN(D64)=LENB(D64),ROUND(LEFT(D64,2*LEN(D64)-LENB(D64))/$A$1,3),((ROUND(LEFT(D64,2*LEN(D64)-LENB(D64))/$A$1,3))*VLOOKUP(H64,食材表!$A:$B,2,FALSE))),"")</f>
        <v/>
      </c>
      <c r="J64" s="92">
        <f t="shared" si="41"/>
        <v>0</v>
      </c>
      <c r="K64" s="85" t="str">
        <f>IFERROR(IF(LEN(F64)=LENB(F64),ROUND(LEFT(F64,2*LEN(F64)-LENB(F64))/$A$1,3),((ROUND(LEFT(F64,2*LEN(F64)-LENB(F64))/$A$1,3))*VLOOKUP(J64,食材表!$A:$B,2,FALSE))),"")</f>
        <v/>
      </c>
      <c r="L64" s="344"/>
      <c r="M64" s="344"/>
      <c r="N64" s="344"/>
      <c r="O64" s="344"/>
      <c r="P64" s="344"/>
      <c r="Q64" s="344"/>
      <c r="R64" s="344"/>
      <c r="S64" s="344"/>
    </row>
    <row r="65" spans="1:19">
      <c r="A65" s="33" t="str">
        <f>"1"&amp;+$B65</f>
        <v>1全麥吐司+豆漿</v>
      </c>
      <c r="B65" s="349" t="s">
        <v>1201</v>
      </c>
      <c r="C65" s="57" t="s">
        <v>956</v>
      </c>
      <c r="D65" s="71" t="str">
        <f>$A$1+2&amp;+"片"</f>
        <v>52片</v>
      </c>
      <c r="E65" s="55"/>
      <c r="F65" s="40"/>
      <c r="G65" s="358" t="str">
        <f>B65</f>
        <v>全麥吐司+豆漿</v>
      </c>
      <c r="H65" s="91" t="str">
        <f>C65</f>
        <v>全麥吐司</v>
      </c>
      <c r="I65" s="83">
        <f>IFERROR(IF(LEN(D65)=LENB(D65),ROUND(LEFT(D65,2*LEN(D65)-LENB(D65))/$A$1,3),((ROUND(LEFT(D65,2*LEN(D65)-LENB(D65))/$A$1,3))*VLOOKUP(H65,食材表!$A:$B,2,FALSE))),"")</f>
        <v>1.04</v>
      </c>
      <c r="J65" s="91">
        <f>E65</f>
        <v>0</v>
      </c>
      <c r="K65" s="83" t="str">
        <f>IFERROR(IF(LEN(F65)=LENB(F65),ROUND(LEFT(F65,2*LEN(F65)-LENB(F65))/$A$1,3),((ROUND(LEFT(F65,2*LEN(F65)-LENB(F65))/$A$1,3))*VLOOKUP(J65,食材表!$A:$B,2,FALSE))),"")</f>
        <v/>
      </c>
      <c r="L65" s="342">
        <f>IFERROR($I65*VLOOKUP($H65,食材表!$A:C,3,FALSE),0)+IFERROR($I66*VLOOKUP($H66,食材表!$A:C,3,FALSE),0)+IFERROR($I67*VLOOKUP($H67,食材表!$A:C,3,FALSE),0)+IFERROR($K65*VLOOKUP($J65,食材表!$A:C,3,FALSE),0)+IFERROR($K66*VLOOKUP($J66,食材表!$A:C,3,FALSE),0)+IFERROR($K67*VLOOKUP($J67,食材表!$A:C,3,FALSE),0)</f>
        <v>2.08</v>
      </c>
      <c r="M65" s="342">
        <f>IFERROR($I65*VLOOKUP($H65,食材表!$A:D,4,FALSE),0)+IFERROR($I66*VLOOKUP($H66,食材表!$A:D,4,FALSE),0)+IFERROR($I67*VLOOKUP($H67,食材表!$A:D,4,FALSE),0)+IFERROR($K65*VLOOKUP($J65,食材表!$A:D,4,FALSE),0)+IFERROR($K66*VLOOKUP($J66,食材表!$A:D,4,FALSE),0)+IFERROR($K67*VLOOKUP($J67,食材表!$A:D,4,FALSE),0)</f>
        <v>0.72800000000000009</v>
      </c>
      <c r="N65" s="342">
        <f>IFERROR($I65*VLOOKUP($H65,食材表!$A:E,5,FALSE),0)+IFERROR($I66*VLOOKUP($H66,食材表!$A:E,5,FALSE),0)+IFERROR($I67*VLOOKUP($H67,食材表!$A:E,5,FALSE),0)+IFERROR($K65*VLOOKUP($J65,食材表!$A:E,5,FALSE),0)+IFERROR($K66*VLOOKUP($J66,食材表!$A:E,5,FALSE),0)+IFERROR($K67*VLOOKUP($J67,食材表!$A:E,5,FALSE),0)</f>
        <v>0</v>
      </c>
      <c r="O65" s="342">
        <f>IFERROR($I65*VLOOKUP($H65,食材表!$A:F,6,FALSE),0)+IFERROR($I66*VLOOKUP($H66,食材表!$A:F,6,FALSE),0)+IFERROR($I67*VLOOKUP($H67,食材表!$A:F,6,FALSE),0)+IFERROR($K65*VLOOKUP($J65,食材表!$A:F,6,FALSE),0)+IFERROR($K66*VLOOKUP($J66,食材表!$A:F,6,FALSE),0)+IFERROR($K67*VLOOKUP($J67,食材表!$A:F,6,FALSE),0)</f>
        <v>0</v>
      </c>
      <c r="P65" s="342">
        <f>IFERROR($I65*VLOOKUP($H65,食材表!$A:G,7,FALSE),0)+IFERROR($I66*VLOOKUP($H66,食材表!$A:G,7,FALSE),0)+IFERROR($I67*VLOOKUP($H67,食材表!$A:G,7,FALSE),0)+IFERROR($K65*VLOOKUP($J65,食材表!$A:G,7,FALSE),0)+IFERROR($K66*VLOOKUP($J66,食材表!$A:G,7,FALSE),0)+IFERROR($K67*VLOOKUP($J67,食材表!$A:G,7,FALSE),0)</f>
        <v>0</v>
      </c>
      <c r="Q65" s="342">
        <f>IFERROR($I65*VLOOKUP($H65,食材表!$A:H,8,FALSE),0)+IFERROR($I66*VLOOKUP($H66,食材表!$A:H,8,FALSE),0)+IFERROR($I67*VLOOKUP($H67,食材表!$A:H,8,FALSE),0)+IFERROR($K65*VLOOKUP($J65,食材表!$A:H,8,FALSE),0)+IFERROR($K66*VLOOKUP($J66,食材表!$A:H,8,FALSE),0)+IFERROR($K67*VLOOKUP($J67,食材表!$A:H,8,FALSE),0)</f>
        <v>0</v>
      </c>
      <c r="R65" s="342">
        <f>IFERROR($I65*VLOOKUP($H65,食材表!$A:I,9,FALSE),0)+IFERROR($I66*VLOOKUP($H66,食材表!$A:I,9,FALSE),0)+IFERROR($I67*VLOOKUP($H67,食材表!$A:I,9,FALSE),0)+IFERROR($K65*VLOOKUP($J65,食材表!$A:I,9,FALSE),0)+IFERROR($K66*VLOOKUP($J66,食材表!$A:I,9,FALSE),0)+IFERROR($K67*VLOOKUP($J67,食材表!$A:I,9,FALSE),0)</f>
        <v>0</v>
      </c>
      <c r="S65" s="342">
        <f>SUM(L65*70+M65*75+N65*120+O65*25+P65*60+Q65*45+R65*4)</f>
        <v>200.2</v>
      </c>
    </row>
    <row r="66" spans="1:19">
      <c r="A66" s="33" t="str">
        <f>"2"&amp;+$B65</f>
        <v>2全麥吐司+豆漿</v>
      </c>
      <c r="B66" s="350"/>
      <c r="C66" s="35" t="s">
        <v>69</v>
      </c>
      <c r="D66" s="40" t="s">
        <v>1212</v>
      </c>
      <c r="E66" s="31"/>
      <c r="F66" s="33"/>
      <c r="G66" s="353"/>
      <c r="H66" s="93" t="str">
        <f t="shared" ref="H66:H67" si="42">C66</f>
        <v>豆漿</v>
      </c>
      <c r="I66" s="86">
        <f>(2*IFERROR(MID(D66,FIND("2L*",D66)+3,1),0)+1*IFERROR(MID(D66,FIND("1L*",D66)+3,2),0))/$A$1</f>
        <v>0.14000000000000001</v>
      </c>
      <c r="J66" s="93">
        <f t="shared" ref="J66:J67" si="43">E66</f>
        <v>0</v>
      </c>
      <c r="K66" s="86" t="str">
        <f>IFERROR(IF(LEN(F66)=LENB(F66),ROUND(LEFT(F66,2*LEN(F66)-LENB(F66))/$A$1,3),((ROUND(LEFT(F66,2*LEN(F66)-LENB(F66))/$A$1,3))*VLOOKUP(J66,食材表!$A:$B,2,FALSE))),"")</f>
        <v/>
      </c>
      <c r="L66" s="343"/>
      <c r="M66" s="343"/>
      <c r="N66" s="343"/>
      <c r="O66" s="343"/>
      <c r="P66" s="343"/>
      <c r="Q66" s="343"/>
      <c r="R66" s="343"/>
      <c r="S66" s="343"/>
    </row>
    <row r="67" spans="1:19">
      <c r="A67" s="33" t="str">
        <f>"3"&amp;+$B65</f>
        <v>3全麥吐司+豆漿</v>
      </c>
      <c r="B67" s="351"/>
      <c r="C67" s="28"/>
      <c r="D67" s="8"/>
      <c r="E67" s="28"/>
      <c r="F67" s="8"/>
      <c r="G67" s="354"/>
      <c r="H67" s="92">
        <f t="shared" si="42"/>
        <v>0</v>
      </c>
      <c r="I67" s="84" t="str">
        <f>IFERROR(IF(LEN(D67)=LENB(D67),ROUND(LEFT(D67,2*LEN(D67)-LENB(D67))/$A$1,3),((ROUND(LEFT(D67,2*LEN(D67)-LENB(D67))/$A$1,3))*VLOOKUP(H67,食材表!$A:$B,2,FALSE))),"")</f>
        <v/>
      </c>
      <c r="J67" s="92">
        <f t="shared" si="43"/>
        <v>0</v>
      </c>
      <c r="K67" s="85" t="str">
        <f>IFERROR(IF(LEN(F67)=LENB(F67),ROUND(LEFT(F67,2*LEN(F67)-LENB(F67))/$A$1,3),((ROUND(LEFT(F67,2*LEN(F67)-LENB(F67))/$A$1,3))*VLOOKUP(J67,食材表!$A:$B,2,FALSE))),"")</f>
        <v/>
      </c>
      <c r="L67" s="344"/>
      <c r="M67" s="344"/>
      <c r="N67" s="344"/>
      <c r="O67" s="344"/>
      <c r="P67" s="344"/>
      <c r="Q67" s="344"/>
      <c r="R67" s="344"/>
      <c r="S67" s="344"/>
    </row>
    <row r="68" spans="1:19">
      <c r="A68" s="33" t="str">
        <f>"1"&amp;+$B68</f>
        <v>1水煮蛋</v>
      </c>
      <c r="B68" s="355" t="s">
        <v>952</v>
      </c>
      <c r="C68" s="57" t="s">
        <v>48</v>
      </c>
      <c r="D68" s="71" t="str">
        <f>$A$1+2&amp;+"個"</f>
        <v>52個</v>
      </c>
      <c r="E68" s="60"/>
      <c r="F68" s="36"/>
      <c r="G68" s="346" t="str">
        <f>B68</f>
        <v>水煮蛋</v>
      </c>
      <c r="H68" s="91" t="str">
        <f>C68</f>
        <v>雞蛋</v>
      </c>
      <c r="I68" s="83">
        <f>IFERROR(IF(LEN(D68)=LENB(D68),ROUND(LEFT(D68,2*LEN(D68)-LENB(D68))/$A$1,3),((ROUND(LEFT(D68,2*LEN(D68)-LENB(D68))/$A$1,3))*VLOOKUP(H68,食材表!$A:$B,2,FALSE))),"")</f>
        <v>6.2399999999999997E-2</v>
      </c>
      <c r="J68" s="91">
        <f>E68</f>
        <v>0</v>
      </c>
      <c r="K68" s="83" t="str">
        <f>IFERROR(IF(LEN(F68)=LENB(F68),ROUND(LEFT(F68,2*LEN(F68)-LENB(F68))/$A$1,3),((ROUND(LEFT(F68,2*LEN(F68)-LENB(F68))/$A$1,3))*VLOOKUP(J68,食材表!$A:$B,2,FALSE))),"")</f>
        <v/>
      </c>
      <c r="L68" s="342">
        <f>IFERROR($I68*VLOOKUP($H68,食材表!$A:C,3,FALSE),0)+IFERROR($I69*VLOOKUP($H69,食材表!$A:C,3,FALSE),0)+IFERROR($I70*VLOOKUP($H70,食材表!$A:C,3,FALSE),0)+IFERROR($K68*VLOOKUP($J68,食材表!$A:C,3,FALSE),0)+IFERROR($K69*VLOOKUP($J69,食材表!$A:C,3,FALSE),0)+IFERROR($K70*VLOOKUP($J70,食材表!$A:C,3,FALSE),0)</f>
        <v>0</v>
      </c>
      <c r="M68" s="342">
        <f>IFERROR($I68*VLOOKUP($H68,食材表!$A:D,4,FALSE),0)+IFERROR($I69*VLOOKUP($H69,食材表!$A:D,4,FALSE),0)+IFERROR($I70*VLOOKUP($H70,食材表!$A:D,4,FALSE),0)+IFERROR($K68*VLOOKUP($J68,食材表!$A:D,4,FALSE),0)+IFERROR($K69*VLOOKUP($J69,食材表!$A:D,4,FALSE),0)+IFERROR($K70*VLOOKUP($J70,食材表!$A:D,4,FALSE),0)</f>
        <v>0.96</v>
      </c>
      <c r="N68" s="342">
        <f>IFERROR($I68*VLOOKUP($H68,食材表!$A:E,5,FALSE),0)+IFERROR($I69*VLOOKUP($H69,食材表!$A:E,5,FALSE),0)+IFERROR($I70*VLOOKUP($H70,食材表!$A:E,5,FALSE),0)+IFERROR($K68*VLOOKUP($J68,食材表!$A:E,5,FALSE),0)+IFERROR($K69*VLOOKUP($J69,食材表!$A:E,5,FALSE),0)+IFERROR($K70*VLOOKUP($J70,食材表!$A:E,5,FALSE),0)</f>
        <v>0</v>
      </c>
      <c r="O68" s="342">
        <f>IFERROR($I68*VLOOKUP($H68,食材表!$A:F,6,FALSE),0)+IFERROR($I69*VLOOKUP($H69,食材表!$A:F,6,FALSE),0)+IFERROR($I70*VLOOKUP($H70,食材表!$A:F,6,FALSE),0)+IFERROR($K68*VLOOKUP($J68,食材表!$A:F,6,FALSE),0)+IFERROR($K69*VLOOKUP($J69,食材表!$A:F,6,FALSE),0)+IFERROR($K70*VLOOKUP($J70,食材表!$A:F,6,FALSE),0)</f>
        <v>0</v>
      </c>
      <c r="P68" s="342">
        <f>IFERROR($I68*VLOOKUP($H68,食材表!$A:G,7,FALSE),0)+IFERROR($I69*VLOOKUP($H69,食材表!$A:G,7,FALSE),0)+IFERROR($I70*VLOOKUP($H70,食材表!$A:G,7,FALSE),0)+IFERROR($K68*VLOOKUP($J68,食材表!$A:G,7,FALSE),0)+IFERROR($K69*VLOOKUP($J69,食材表!$A:G,7,FALSE),0)+IFERROR($K70*VLOOKUP($J70,食材表!$A:G,7,FALSE),0)</f>
        <v>0</v>
      </c>
      <c r="Q68" s="342">
        <f>IFERROR($I68*VLOOKUP($H68,食材表!$A:H,8,FALSE),0)+IFERROR($I69*VLOOKUP($H69,食材表!$A:H,8,FALSE),0)+IFERROR($I70*VLOOKUP($H70,食材表!$A:H,8,FALSE),0)+IFERROR($K68*VLOOKUP($J68,食材表!$A:H,8,FALSE),0)+IFERROR($K69*VLOOKUP($J69,食材表!$A:H,8,FALSE),0)+IFERROR($K70*VLOOKUP($J70,食材表!$A:H,8,FALSE),0)</f>
        <v>0</v>
      </c>
      <c r="R68" s="342">
        <f>IFERROR($I68*VLOOKUP($H68,食材表!$A:I,9,FALSE),0)+IFERROR($I69*VLOOKUP($H69,食材表!$A:I,9,FALSE),0)+IFERROR($I70*VLOOKUP($H70,食材表!$A:I,9,FALSE),0)+IFERROR($K68*VLOOKUP($J68,食材表!$A:I,9,FALSE),0)+IFERROR($K69*VLOOKUP($J69,食材表!$A:I,9,FALSE),0)+IFERROR($K70*VLOOKUP($J70,食材表!$A:I,9,FALSE),0)</f>
        <v>0</v>
      </c>
      <c r="S68" s="342">
        <f>SUM(L68*70+M68*75+N68*120+O68*25+P68*60+Q68*45+R68*4)</f>
        <v>72</v>
      </c>
    </row>
    <row r="69" spans="1:19">
      <c r="A69" s="33" t="str">
        <f>"2"&amp;+$B68</f>
        <v>2水煮蛋</v>
      </c>
      <c r="B69" s="356"/>
      <c r="C69" s="31"/>
      <c r="D69" s="33"/>
      <c r="E69" s="22"/>
      <c r="F69" s="36"/>
      <c r="G69" s="347"/>
      <c r="H69" s="93">
        <f t="shared" ref="H69:H70" si="44">C69</f>
        <v>0</v>
      </c>
      <c r="I69" s="86" t="str">
        <f>IFERROR(IF(LEN(D69)=LENB(D69),ROUND(LEFT(D69,2*LEN(D69)-LENB(D69))/$A$1,3),((ROUND(LEFT(D69,2*LEN(D69)-LENB(D69))/$A$1,3))*VLOOKUP(H69,食材表!$A:$B,2,FALSE))),"")</f>
        <v/>
      </c>
      <c r="J69" s="93">
        <f t="shared" ref="J69:J70" si="45">E69</f>
        <v>0</v>
      </c>
      <c r="K69" s="86" t="str">
        <f>IFERROR(IF(LEN(F69)=LENB(F69),ROUND(LEFT(F69,2*LEN(F69)-LENB(F69))/$A$1,3),((ROUND(LEFT(F69,2*LEN(F69)-LENB(F69))/$A$1,3))*VLOOKUP(J69,食材表!$A:$B,2,FALSE))),"")</f>
        <v/>
      </c>
      <c r="L69" s="343"/>
      <c r="M69" s="343"/>
      <c r="N69" s="343"/>
      <c r="O69" s="343"/>
      <c r="P69" s="343"/>
      <c r="Q69" s="343"/>
      <c r="R69" s="343"/>
      <c r="S69" s="343"/>
    </row>
    <row r="70" spans="1:19">
      <c r="A70" s="33" t="str">
        <f>"3"&amp;+$B68</f>
        <v>3水煮蛋</v>
      </c>
      <c r="B70" s="357"/>
      <c r="C70" s="28"/>
      <c r="D70" s="8"/>
      <c r="E70" s="26"/>
      <c r="F70" s="37"/>
      <c r="G70" s="348"/>
      <c r="H70" s="92">
        <f t="shared" si="44"/>
        <v>0</v>
      </c>
      <c r="I70" s="84" t="str">
        <f>IFERROR(IF(LEN(D70)=LENB(D70),ROUND(LEFT(D70,2*LEN(D70)-LENB(D70))/$A$1,3),((ROUND(LEFT(D70,2*LEN(D70)-LENB(D70))/$A$1,3))*VLOOKUP(H70,食材表!$A:$B,2,FALSE))),"")</f>
        <v/>
      </c>
      <c r="J70" s="92">
        <f t="shared" si="45"/>
        <v>0</v>
      </c>
      <c r="K70" s="85" t="str">
        <f>IFERROR(IF(LEN(F70)=LENB(F70),ROUND(LEFT(F70,2*LEN(F70)-LENB(F70))/$A$1,3),((ROUND(LEFT(F70,2*LEN(F70)-LENB(F70))/$A$1,3))*VLOOKUP(J70,食材表!$A:$B,2,FALSE))),"")</f>
        <v/>
      </c>
      <c r="L70" s="344"/>
      <c r="M70" s="344"/>
      <c r="N70" s="344"/>
      <c r="O70" s="344"/>
      <c r="P70" s="344"/>
      <c r="Q70" s="344"/>
      <c r="R70" s="344"/>
      <c r="S70" s="344"/>
    </row>
    <row r="71" spans="1:19">
      <c r="A71" s="33" t="str">
        <f>"1"&amp;+$B71</f>
        <v>1茶葉蛋</v>
      </c>
      <c r="B71" s="349" t="s">
        <v>1067</v>
      </c>
      <c r="C71" s="153" t="s">
        <v>353</v>
      </c>
      <c r="D71" s="71" t="str">
        <f>$A$1+2&amp;+"個"</f>
        <v>52個</v>
      </c>
      <c r="E71" s="75" t="s">
        <v>1068</v>
      </c>
      <c r="F71" s="59"/>
      <c r="G71" s="352" t="str">
        <f>B71</f>
        <v>茶葉蛋</v>
      </c>
      <c r="H71" s="91" t="str">
        <f>C71</f>
        <v>雞蛋</v>
      </c>
      <c r="I71" s="83">
        <f>IFERROR(IF(LEN(D71)=LENB(D71),ROUND(LEFT(D71,2*LEN(D71)-LENB(D71))/$A$1,3),((ROUND(LEFT(D71,2*LEN(D71)-LENB(D71))/$A$1,3))*VLOOKUP(H71,食材表!$A:$B,2,FALSE))),"")</f>
        <v>6.2399999999999997E-2</v>
      </c>
      <c r="J71" s="91" t="str">
        <f>E71</f>
        <v>提前一天送達</v>
      </c>
      <c r="K71" s="83" t="str">
        <f>IFERROR(IF(LEN(F71)=LENB(F71),ROUND(LEFT(F71,2*LEN(F71)-LENB(F71))/$A$1,3),((ROUND(LEFT(F71,2*LEN(F71)-LENB(F71))/$A$1,3))*VLOOKUP(J71,食材表!$A:$B,2,FALSE))),"")</f>
        <v/>
      </c>
      <c r="L71" s="342">
        <f>IFERROR($I71*VLOOKUP($H71,食材表!$A:C,3,FALSE),0)+IFERROR($I72*VLOOKUP($H72,食材表!$A:C,3,FALSE),0)+IFERROR($I73*VLOOKUP($H73,食材表!$A:C,3,FALSE),0)+IFERROR($K71*VLOOKUP($J71,食材表!$A:C,3,FALSE),0)+IFERROR($K72*VLOOKUP($J72,食材表!$A:C,3,FALSE),0)+IFERROR($K73*VLOOKUP($J73,食材表!$A:C,3,FALSE),0)</f>
        <v>0</v>
      </c>
      <c r="M71" s="342">
        <f>IFERROR($I71*VLOOKUP($H71,食材表!$A:D,4,FALSE),0)+IFERROR($I72*VLOOKUP($H72,食材表!$A:D,4,FALSE),0)+IFERROR($I73*VLOOKUP($H73,食材表!$A:D,4,FALSE),0)+IFERROR($K71*VLOOKUP($J71,食材表!$A:D,4,FALSE),0)+IFERROR($K72*VLOOKUP($J72,食材表!$A:D,4,FALSE),0)+IFERROR($K73*VLOOKUP($J73,食材表!$A:D,4,FALSE),0)</f>
        <v>0.96</v>
      </c>
      <c r="N71" s="342">
        <f>IFERROR($I71*VLOOKUP($H71,食材表!$A:E,5,FALSE),0)+IFERROR($I72*VLOOKUP($H72,食材表!$A:E,5,FALSE),0)+IFERROR($I73*VLOOKUP($H73,食材表!$A:E,5,FALSE),0)+IFERROR($K71*VLOOKUP($J71,食材表!$A:E,5,FALSE),0)+IFERROR($K72*VLOOKUP($J72,食材表!$A:E,5,FALSE),0)+IFERROR($K73*VLOOKUP($J73,食材表!$A:E,5,FALSE),0)</f>
        <v>0</v>
      </c>
      <c r="O71" s="342">
        <f>IFERROR($I71*VLOOKUP($H71,食材表!$A:F,6,FALSE),0)+IFERROR($I72*VLOOKUP($H72,食材表!$A:F,6,FALSE),0)+IFERROR($I73*VLOOKUP($H73,食材表!$A:F,6,FALSE),0)+IFERROR($K71*VLOOKUP($J71,食材表!$A:F,6,FALSE),0)+IFERROR($K72*VLOOKUP($J72,食材表!$A:F,6,FALSE),0)+IFERROR($K73*VLOOKUP($J73,食材表!$A:F,6,FALSE),0)</f>
        <v>0</v>
      </c>
      <c r="P71" s="342">
        <f>IFERROR($I71*VLOOKUP($H71,食材表!$A:G,7,FALSE),0)+IFERROR($I72*VLOOKUP($H72,食材表!$A:G,7,FALSE),0)+IFERROR($I73*VLOOKUP($H73,食材表!$A:G,7,FALSE),0)+IFERROR($K71*VLOOKUP($J71,食材表!$A:G,7,FALSE),0)+IFERROR($K72*VLOOKUP($J72,食材表!$A:G,7,FALSE),0)+IFERROR($K73*VLOOKUP($J73,食材表!$A:G,7,FALSE),0)</f>
        <v>0</v>
      </c>
      <c r="Q71" s="342">
        <f>IFERROR($I71*VLOOKUP($H71,食材表!$A:H,8,FALSE),0)+IFERROR($I72*VLOOKUP($H72,食材表!$A:H,8,FALSE),0)+IFERROR($I73*VLOOKUP($H73,食材表!$A:H,8,FALSE),0)+IFERROR($K71*VLOOKUP($J71,食材表!$A:H,8,FALSE),0)+IFERROR($K72*VLOOKUP($J72,食材表!$A:H,8,FALSE),0)+IFERROR($K73*VLOOKUP($J73,食材表!$A:H,8,FALSE),0)</f>
        <v>0</v>
      </c>
      <c r="R71" s="342">
        <f>IFERROR($I71*VLOOKUP($H71,食材表!$A:I,9,FALSE),0)+IFERROR($I72*VLOOKUP($H72,食材表!$A:I,9,FALSE),0)+IFERROR($I73*VLOOKUP($H73,食材表!$A:I,9,FALSE),0)+IFERROR($K71*VLOOKUP($J71,食材表!$A:I,9,FALSE),0)+IFERROR($K72*VLOOKUP($J72,食材表!$A:I,9,FALSE),0)+IFERROR($K73*VLOOKUP($J73,食材表!$A:I,9,FALSE),0)</f>
        <v>0</v>
      </c>
      <c r="S71" s="342">
        <f>SUM(L71*70+M71*75+N71*120+O71*25+P71*60+Q71*45+R71*4)</f>
        <v>72</v>
      </c>
    </row>
    <row r="72" spans="1:19">
      <c r="A72" s="33" t="str">
        <f>"2"&amp;+$B71</f>
        <v>2茶葉蛋</v>
      </c>
      <c r="B72" s="350"/>
      <c r="C72" s="22" t="s">
        <v>454</v>
      </c>
      <c r="D72" s="36" t="s">
        <v>238</v>
      </c>
      <c r="E72" s="23"/>
      <c r="F72" s="36"/>
      <c r="G72" s="353"/>
      <c r="H72" s="93" t="str">
        <f t="shared" ref="H72:H73" si="46">C72</f>
        <v>茶葉蛋滷包</v>
      </c>
      <c r="I72" s="86">
        <f>IFERROR(IF(LEN(D72)=LENB(D72),ROUND(LEFT(D72,2*LEN(D72)-LENB(D72))/$A$1,3),((ROUND(LEFT(D72,2*LEN(D72)-LENB(D72))/$A$1,3))*VLOOKUP(H72,食材表!$A:$B,2,FALSE))),"")</f>
        <v>6.0000000000000001E-3</v>
      </c>
      <c r="J72" s="93">
        <f t="shared" ref="J72:J73" si="47">E72</f>
        <v>0</v>
      </c>
      <c r="K72" s="86" t="str">
        <f>IFERROR(IF(LEN(F72)=LENB(F72),ROUND(LEFT(F72,2*LEN(F72)-LENB(F72))/$A$1,3),((ROUND(LEFT(F72,2*LEN(F72)-LENB(F72))/$A$1,3))*VLOOKUP(J72,食材表!$A:$B,2,FALSE))),"")</f>
        <v/>
      </c>
      <c r="L72" s="343"/>
      <c r="M72" s="343"/>
      <c r="N72" s="343"/>
      <c r="O72" s="343"/>
      <c r="P72" s="343"/>
      <c r="Q72" s="343"/>
      <c r="R72" s="343"/>
      <c r="S72" s="343"/>
    </row>
    <row r="73" spans="1:19">
      <c r="A73" s="33" t="str">
        <f>"3"&amp;+$B71</f>
        <v>3茶葉蛋</v>
      </c>
      <c r="B73" s="351"/>
      <c r="C73" s="26"/>
      <c r="D73" s="37"/>
      <c r="E73" s="25"/>
      <c r="F73" s="37"/>
      <c r="G73" s="354"/>
      <c r="H73" s="92">
        <f t="shared" si="46"/>
        <v>0</v>
      </c>
      <c r="I73" s="84" t="str">
        <f>IFERROR(IF(LEN(D73)=LENB(D73),ROUND(LEFT(D73,2*LEN(D73)-LENB(D73))/$A$1,3),((ROUND(LEFT(D73,2*LEN(D73)-LENB(D73))/$A$1,3))*VLOOKUP(H73,食材表!$A:$B,2,FALSE))),"")</f>
        <v/>
      </c>
      <c r="J73" s="92">
        <f t="shared" si="47"/>
        <v>0</v>
      </c>
      <c r="K73" s="85" t="str">
        <f>IFERROR(IF(LEN(F73)=LENB(F73),ROUND(LEFT(F73,2*LEN(F73)-LENB(F73))/$A$1,3),((ROUND(LEFT(F73,2*LEN(F73)-LENB(F73))/$A$1,3))*VLOOKUP(J73,食材表!$A:$B,2,FALSE))),"")</f>
        <v/>
      </c>
      <c r="L73" s="344"/>
      <c r="M73" s="344"/>
      <c r="N73" s="344"/>
      <c r="O73" s="344"/>
      <c r="P73" s="344"/>
      <c r="Q73" s="344"/>
      <c r="R73" s="344"/>
      <c r="S73" s="344"/>
    </row>
    <row r="74" spans="1:19">
      <c r="A74" s="33" t="str">
        <f>"1"&amp;+$B74</f>
        <v>1滷蛋</v>
      </c>
      <c r="B74" s="349" t="s">
        <v>373</v>
      </c>
      <c r="C74" s="60" t="s">
        <v>353</v>
      </c>
      <c r="D74" s="71" t="str">
        <f>$A$1+2&amp;+"個"</f>
        <v>52個</v>
      </c>
      <c r="E74" s="75" t="s">
        <v>1068</v>
      </c>
      <c r="F74" s="36"/>
      <c r="G74" s="352" t="str">
        <f t="shared" ref="G74" si="48">B74</f>
        <v>滷蛋</v>
      </c>
      <c r="H74" s="91" t="str">
        <f t="shared" ref="H74:H80" si="49">C74</f>
        <v>雞蛋</v>
      </c>
      <c r="I74" s="83">
        <f>IFERROR(IF(LEN(D74)=LENB(D74),ROUND(LEFT(D74,2*LEN(D74)-LENB(D74))/$A$1,3),((ROUND(LEFT(D74,2*LEN(D74)-LENB(D74))/$A$1,3))*VLOOKUP(H74,食材表!$A:$B,2,FALSE))),"")</f>
        <v>6.2399999999999997E-2</v>
      </c>
      <c r="J74" s="91" t="str">
        <f t="shared" ref="J74:J80" si="50">E74</f>
        <v>提前一天送達</v>
      </c>
      <c r="K74" s="83" t="str">
        <f>IFERROR(IF(LEN(F74)=LENB(F74),ROUND(LEFT(F74,2*LEN(F74)-LENB(F74))/$A$1,3),((ROUND(LEFT(F74,2*LEN(F74)-LENB(F74))/$A$1,3))*VLOOKUP(J74,食材表!$A:$B,2,FALSE))),"")</f>
        <v/>
      </c>
      <c r="L74" s="342">
        <f>IFERROR($I74*VLOOKUP($H74,食材表!$A:C,3,FALSE),0)+IFERROR($I75*VLOOKUP($H75,食材表!$A:C,3,FALSE),0)+IFERROR($I76*VLOOKUP($H76,食材表!$A:C,3,FALSE),0)+IFERROR($K74*VLOOKUP($J74,食材表!$A:C,3,FALSE),0)+IFERROR($K75*VLOOKUP($J75,食材表!$A:C,3,FALSE),0)+IFERROR($K76*VLOOKUP($J76,食材表!$A:C,3,FALSE),0)</f>
        <v>0</v>
      </c>
      <c r="M74" s="342">
        <f>IFERROR($I74*VLOOKUP($H74,食材表!$A:D,4,FALSE),0)+IFERROR($I75*VLOOKUP($H75,食材表!$A:D,4,FALSE),0)+IFERROR($I76*VLOOKUP($H76,食材表!$A:D,4,FALSE),0)+IFERROR($K74*VLOOKUP($J74,食材表!$A:D,4,FALSE),0)+IFERROR($K75*VLOOKUP($J75,食材表!$A:D,4,FALSE),0)+IFERROR($K76*VLOOKUP($J76,食材表!$A:D,4,FALSE),0)</f>
        <v>0.96</v>
      </c>
      <c r="N74" s="342">
        <f>IFERROR($I74*VLOOKUP($H74,食材表!$A:E,5,FALSE),0)+IFERROR($I75*VLOOKUP($H75,食材表!$A:E,5,FALSE),0)+IFERROR($I76*VLOOKUP($H76,食材表!$A:E,5,FALSE),0)+IFERROR($K74*VLOOKUP($J74,食材表!$A:E,5,FALSE),0)+IFERROR($K75*VLOOKUP($J75,食材表!$A:E,5,FALSE),0)+IFERROR($K76*VLOOKUP($J76,食材表!$A:E,5,FALSE),0)</f>
        <v>0</v>
      </c>
      <c r="O74" s="342">
        <f>IFERROR($I74*VLOOKUP($H74,食材表!$A:F,6,FALSE),0)+IFERROR($I75*VLOOKUP($H75,食材表!$A:F,6,FALSE),0)+IFERROR($I76*VLOOKUP($H76,食材表!$A:F,6,FALSE),0)+IFERROR($K74*VLOOKUP($J74,食材表!$A:F,6,FALSE),0)+IFERROR($K75*VLOOKUP($J75,食材表!$A:F,6,FALSE),0)+IFERROR($K76*VLOOKUP($J76,食材表!$A:F,6,FALSE),0)</f>
        <v>0</v>
      </c>
      <c r="P74" s="342">
        <f>IFERROR($I74*VLOOKUP($H74,食材表!$A:G,7,FALSE),0)+IFERROR($I75*VLOOKUP($H75,食材表!$A:G,7,FALSE),0)+IFERROR($I76*VLOOKUP($H76,食材表!$A:G,7,FALSE),0)+IFERROR($K74*VLOOKUP($J74,食材表!$A:G,7,FALSE),0)+IFERROR($K75*VLOOKUP($J75,食材表!$A:G,7,FALSE),0)+IFERROR($K76*VLOOKUP($J76,食材表!$A:G,7,FALSE),0)</f>
        <v>0</v>
      </c>
      <c r="Q74" s="342">
        <f>IFERROR($I74*VLOOKUP($H74,食材表!$A:H,8,FALSE),0)+IFERROR($I75*VLOOKUP($H75,食材表!$A:H,8,FALSE),0)+IFERROR($I76*VLOOKUP($H76,食材表!$A:H,8,FALSE),0)+IFERROR($K74*VLOOKUP($J74,食材表!$A:H,8,FALSE),0)+IFERROR($K75*VLOOKUP($J75,食材表!$A:H,8,FALSE),0)+IFERROR($K76*VLOOKUP($J76,食材表!$A:H,8,FALSE),0)</f>
        <v>0</v>
      </c>
      <c r="R74" s="342">
        <f>IFERROR($I74*VLOOKUP($H74,食材表!$A:I,9,FALSE),0)+IFERROR($I75*VLOOKUP($H75,食材表!$A:I,9,FALSE),0)+IFERROR($I76*VLOOKUP($H76,食材表!$A:I,9,FALSE),0)+IFERROR($K74*VLOOKUP($J74,食材表!$A:I,9,FALSE),0)+IFERROR($K75*VLOOKUP($J75,食材表!$A:I,9,FALSE),0)+IFERROR($K76*VLOOKUP($J76,食材表!$A:I,9,FALSE),0)</f>
        <v>0</v>
      </c>
      <c r="S74" s="342">
        <f t="shared" ref="S74" si="51">SUM(L74*70+M74*75+N74*120+O74*25+P74*60+Q74*45+R74*4)</f>
        <v>72</v>
      </c>
    </row>
    <row r="75" spans="1:19">
      <c r="A75" s="33" t="str">
        <f>"2"&amp;+$B74</f>
        <v>2滷蛋</v>
      </c>
      <c r="B75" s="350"/>
      <c r="C75" s="22" t="s">
        <v>374</v>
      </c>
      <c r="D75" s="41" t="s">
        <v>375</v>
      </c>
      <c r="E75" s="22"/>
      <c r="F75" s="36"/>
      <c r="G75" s="353"/>
      <c r="H75" s="93" t="str">
        <f t="shared" si="49"/>
        <v>滷包</v>
      </c>
      <c r="I75" s="86" t="str">
        <f>IFERROR(IF(LEN(D75)=LENB(D75),ROUND(LEFT(D75,2*LEN(D75)-LENB(D75))/$A$1,3),((ROUND(LEFT(D75,2*LEN(D75)-LENB(D75))/$A$1,3))*VLOOKUP(H75,食材表!$A:$B,2,FALSE))),"")</f>
        <v/>
      </c>
      <c r="J75" s="93">
        <f t="shared" si="50"/>
        <v>0</v>
      </c>
      <c r="K75" s="86" t="str">
        <f>IFERROR(IF(LEN(F75)=LENB(F75),ROUND(LEFT(F75,2*LEN(F75)-LENB(F75))/$A$1,3),((ROUND(LEFT(F75,2*LEN(F75)-LENB(F75))/$A$1,3))*VLOOKUP(J75,食材表!$A:$B,2,FALSE))),"")</f>
        <v/>
      </c>
      <c r="L75" s="343"/>
      <c r="M75" s="343"/>
      <c r="N75" s="343"/>
      <c r="O75" s="343"/>
      <c r="P75" s="343"/>
      <c r="Q75" s="343"/>
      <c r="R75" s="343"/>
      <c r="S75" s="343"/>
    </row>
    <row r="76" spans="1:19">
      <c r="A76" s="33" t="str">
        <f>"3"&amp;+$B74</f>
        <v>3滷蛋</v>
      </c>
      <c r="B76" s="351"/>
      <c r="C76" s="26"/>
      <c r="D76" s="41"/>
      <c r="E76" s="26"/>
      <c r="F76" s="37"/>
      <c r="G76" s="354"/>
      <c r="H76" s="92">
        <f t="shared" si="49"/>
        <v>0</v>
      </c>
      <c r="I76" s="84" t="str">
        <f>IFERROR(IF(LEN(D76)=LENB(D76),ROUND(LEFT(D76,2*LEN(D76)-LENB(D76))/$A$1,3),((ROUND(LEFT(D76,2*LEN(D76)-LENB(D76))/$A$1,3))*VLOOKUP(H76,食材表!$A:$B,2,FALSE))),"")</f>
        <v/>
      </c>
      <c r="J76" s="92">
        <f t="shared" si="50"/>
        <v>0</v>
      </c>
      <c r="K76" s="85" t="str">
        <f>IFERROR(IF(LEN(F76)=LENB(F76),ROUND(LEFT(F76,2*LEN(F76)-LENB(F76))/$A$1,3),((ROUND(LEFT(F76,2*LEN(F76)-LENB(F76))/$A$1,3))*VLOOKUP(J76,食材表!$A:$B,2,FALSE))),"")</f>
        <v/>
      </c>
      <c r="L76" s="344"/>
      <c r="M76" s="344"/>
      <c r="N76" s="344"/>
      <c r="O76" s="344"/>
      <c r="P76" s="344"/>
      <c r="Q76" s="344"/>
      <c r="R76" s="344"/>
      <c r="S76" s="344"/>
    </row>
    <row r="77" spans="1:19">
      <c r="A77" s="33" t="str">
        <f>"1"&amp;+$B77</f>
        <v>1滷油腐</v>
      </c>
      <c r="B77" s="349" t="s">
        <v>1077</v>
      </c>
      <c r="C77" s="60" t="s">
        <v>1078</v>
      </c>
      <c r="D77" s="59">
        <v>3.5</v>
      </c>
      <c r="E77" s="60"/>
      <c r="F77" s="36"/>
      <c r="G77" s="352" t="str">
        <f t="shared" ref="G77" si="52">B77</f>
        <v>滷油腐</v>
      </c>
      <c r="H77" s="91" t="str">
        <f t="shared" si="49"/>
        <v>小三角油豆腐</v>
      </c>
      <c r="I77" s="83">
        <f>IFERROR(IF(LEN(D77)=LENB(D77),ROUND(LEFT(D77,2*LEN(D77)-LENB(D77))/$A$1,3),((ROUND(LEFT(D77,2*LEN(D77)-LENB(D77))/$A$1,3))*VLOOKUP(H77,食材表!$A:$B,2,FALSE))),"")</f>
        <v>7.0000000000000007E-2</v>
      </c>
      <c r="J77" s="91">
        <f t="shared" si="50"/>
        <v>0</v>
      </c>
      <c r="K77" s="83" t="str">
        <f>IFERROR(IF(LEN(F77)=LENB(F77),ROUND(LEFT(F77,2*LEN(F77)-LENB(F77))/$A$1,3),((ROUND(LEFT(F77,2*LEN(F77)-LENB(F77))/$A$1,3))*VLOOKUP(J77,食材表!$A:$B,2,FALSE))),"")</f>
        <v/>
      </c>
      <c r="L77" s="342">
        <f>IFERROR($I77*VLOOKUP($H77,食材表!$A:C,3,FALSE),0)+IFERROR($I78*VLOOKUP($H78,食材表!$A:C,3,FALSE),0)+IFERROR($I79*VLOOKUP($H79,食材表!$A:C,3,FALSE),0)+IFERROR($K77*VLOOKUP($J77,食材表!$A:C,3,FALSE),0)+IFERROR($K78*VLOOKUP($J78,食材表!$A:C,3,FALSE),0)+IFERROR($K79*VLOOKUP($J79,食材表!$A:C,3,FALSE),0)</f>
        <v>0</v>
      </c>
      <c r="M77" s="342">
        <f>IFERROR($I77*VLOOKUP($H77,食材表!$A:D,4,FALSE),0)+IFERROR($I78*VLOOKUP($H78,食材表!$A:D,4,FALSE),0)+IFERROR($I79*VLOOKUP($H79,食材表!$A:D,4,FALSE),0)+IFERROR($K77*VLOOKUP($J77,食材表!$A:D,4,FALSE),0)+IFERROR($K78*VLOOKUP($J78,食材表!$A:D,4,FALSE),0)+IFERROR($K79*VLOOKUP($J79,食材表!$A:D,4,FALSE),0)</f>
        <v>0</v>
      </c>
      <c r="N77" s="342">
        <f>IFERROR($I77*VLOOKUP($H77,食材表!$A:E,5,FALSE),0)+IFERROR($I78*VLOOKUP($H78,食材表!$A:E,5,FALSE),0)+IFERROR($I79*VLOOKUP($H79,食材表!$A:E,5,FALSE),0)+IFERROR($K77*VLOOKUP($J77,食材表!$A:E,5,FALSE),0)+IFERROR($K78*VLOOKUP($J78,食材表!$A:E,5,FALSE),0)+IFERROR($K79*VLOOKUP($J79,食材表!$A:E,5,FALSE),0)</f>
        <v>0</v>
      </c>
      <c r="O77" s="342">
        <f>IFERROR($I77*VLOOKUP($H77,食材表!$A:F,6,FALSE),0)+IFERROR($I78*VLOOKUP($H78,食材表!$A:F,6,FALSE),0)+IFERROR($I79*VLOOKUP($H79,食材表!$A:F,6,FALSE),0)+IFERROR($K77*VLOOKUP($J77,食材表!$A:F,6,FALSE),0)+IFERROR($K78*VLOOKUP($J78,食材表!$A:F,6,FALSE),0)+IFERROR($K79*VLOOKUP($J79,食材表!$A:F,6,FALSE),0)</f>
        <v>0</v>
      </c>
      <c r="P77" s="342">
        <f>IFERROR($I77*VLOOKUP($H77,食材表!$A:G,7,FALSE),0)+IFERROR($I78*VLOOKUP($H78,食材表!$A:G,7,FALSE),0)+IFERROR($I79*VLOOKUP($H79,食材表!$A:G,7,FALSE),0)+IFERROR($K77*VLOOKUP($J77,食材表!$A:G,7,FALSE),0)+IFERROR($K78*VLOOKUP($J78,食材表!$A:G,7,FALSE),0)+IFERROR($K79*VLOOKUP($J79,食材表!$A:G,7,FALSE),0)</f>
        <v>0</v>
      </c>
      <c r="Q77" s="342">
        <f>IFERROR($I77*VLOOKUP($H77,食材表!$A:H,8,FALSE),0)+IFERROR($I78*VLOOKUP($H78,食材表!$A:H,8,FALSE),0)+IFERROR($I79*VLOOKUP($H79,食材表!$A:H,8,FALSE),0)+IFERROR($K77*VLOOKUP($J77,食材表!$A:H,8,FALSE),0)+IFERROR($K78*VLOOKUP($J78,食材表!$A:H,8,FALSE),0)+IFERROR($K79*VLOOKUP($J79,食材表!$A:H,8,FALSE),0)</f>
        <v>0</v>
      </c>
      <c r="R77" s="342">
        <f>IFERROR($I77*VLOOKUP($H77,食材表!$A:I,9,FALSE),0)+IFERROR($I78*VLOOKUP($H78,食材表!$A:I,9,FALSE),0)+IFERROR($I79*VLOOKUP($H79,食材表!$A:I,9,FALSE),0)+IFERROR($K77*VLOOKUP($J77,食材表!$A:I,9,FALSE),0)+IFERROR($K78*VLOOKUP($J78,食材表!$A:I,9,FALSE),0)+IFERROR($K79*VLOOKUP($J79,食材表!$A:I,9,FALSE),0)</f>
        <v>0</v>
      </c>
      <c r="S77" s="342">
        <f t="shared" ref="S77" si="53">SUM(L77*70+M77*75+N77*120+O77*25+P77*60+Q77*45+R77*4)</f>
        <v>0</v>
      </c>
    </row>
    <row r="78" spans="1:19">
      <c r="A78" s="33" t="str">
        <f>"2"&amp;+$B77</f>
        <v>2滷油腐</v>
      </c>
      <c r="B78" s="350"/>
      <c r="C78" s="22" t="s">
        <v>1079</v>
      </c>
      <c r="D78" s="41" t="s">
        <v>238</v>
      </c>
      <c r="E78" s="22"/>
      <c r="F78" s="36"/>
      <c r="G78" s="353"/>
      <c r="H78" s="93" t="str">
        <f t="shared" si="49"/>
        <v>滷包</v>
      </c>
      <c r="I78" s="86" t="str">
        <f>IFERROR(IF(LEN(D78)=LENB(D78),ROUND(LEFT(D78,2*LEN(D78)-LENB(D78))/$A$1,3),((ROUND(LEFT(D78,2*LEN(D78)-LENB(D78))/$A$1,3))*VLOOKUP(H78,食材表!$A:$B,2,FALSE))),"")</f>
        <v/>
      </c>
      <c r="J78" s="93">
        <f t="shared" si="50"/>
        <v>0</v>
      </c>
      <c r="K78" s="86" t="str">
        <f>IFERROR(IF(LEN(F78)=LENB(F78),ROUND(LEFT(F78,2*LEN(F78)-LENB(F78))/$A$1,3),((ROUND(LEFT(F78,2*LEN(F78)-LENB(F78))/$A$1,3))*VLOOKUP(J78,食材表!$A:$B,2,FALSE))),"")</f>
        <v/>
      </c>
      <c r="L78" s="343"/>
      <c r="M78" s="343"/>
      <c r="N78" s="343"/>
      <c r="O78" s="343"/>
      <c r="P78" s="343"/>
      <c r="Q78" s="343"/>
      <c r="R78" s="343"/>
      <c r="S78" s="343"/>
    </row>
    <row r="79" spans="1:19">
      <c r="A79" s="33" t="str">
        <f>"3"&amp;+$B77</f>
        <v>3滷油腐</v>
      </c>
      <c r="B79" s="351"/>
      <c r="C79" s="26"/>
      <c r="D79" s="37"/>
      <c r="E79" s="26"/>
      <c r="F79" s="37"/>
      <c r="G79" s="354"/>
      <c r="H79" s="92">
        <f t="shared" si="49"/>
        <v>0</v>
      </c>
      <c r="I79" s="84" t="str">
        <f>IFERROR(IF(LEN(D79)=LENB(D79),ROUND(LEFT(D79,2*LEN(D79)-LENB(D79))/$A$1,3),((ROUND(LEFT(D79,2*LEN(D79)-LENB(D79))/$A$1,3))*VLOOKUP(H79,食材表!$A:$B,2,FALSE))),"")</f>
        <v/>
      </c>
      <c r="J79" s="92">
        <f t="shared" si="50"/>
        <v>0</v>
      </c>
      <c r="K79" s="85" t="str">
        <f>IFERROR(IF(LEN(F79)=LENB(F79),ROUND(LEFT(F79,2*LEN(F79)-LENB(F79))/$A$1,3),((ROUND(LEFT(F79,2*LEN(F79)-LENB(F79))/$A$1,3))*VLOOKUP(J79,食材表!$A:$B,2,FALSE))),"")</f>
        <v/>
      </c>
      <c r="L79" s="344"/>
      <c r="M79" s="344"/>
      <c r="N79" s="344"/>
      <c r="O79" s="344"/>
      <c r="P79" s="344"/>
      <c r="Q79" s="344"/>
      <c r="R79" s="344"/>
      <c r="S79" s="344"/>
    </row>
    <row r="80" spans="1:19">
      <c r="A80" s="33" t="str">
        <f>"1"&amp;+$B80</f>
        <v>1冰烤地瓜</v>
      </c>
      <c r="B80" s="349" t="s">
        <v>57</v>
      </c>
      <c r="C80" s="60" t="s">
        <v>57</v>
      </c>
      <c r="D80" s="71" t="str">
        <f>$A$1+2&amp;+"個"</f>
        <v>52個</v>
      </c>
      <c r="E80" s="60"/>
      <c r="F80" s="36"/>
      <c r="G80" s="384" t="str">
        <f>B80</f>
        <v>冰烤地瓜</v>
      </c>
      <c r="H80" s="91" t="str">
        <f t="shared" si="49"/>
        <v>冰烤地瓜</v>
      </c>
      <c r="I80" s="83">
        <f>IFERROR(IF(LEN(D80)=LENB(D80),ROUND(LEFT(D80,2*LEN(D80)-LENB(D80))/$A$1,3),((ROUND(LEFT(D80,2*LEN(D80)-LENB(D80))/$A$1,3))*VLOOKUP(H80,食材表!$A:$B,2,FALSE))),"")</f>
        <v>1.04</v>
      </c>
      <c r="J80" s="91">
        <f t="shared" si="50"/>
        <v>0</v>
      </c>
      <c r="K80" s="83" t="str">
        <f>IFERROR(IF(LEN(F80)=LENB(F80),ROUND(LEFT(F80,2*LEN(F80)-LENB(F80))/$A$1,3),((ROUND(LEFT(F80,2*LEN(F80)-LENB(F80))/$A$1,3))*VLOOKUP(J80,食材表!$A:$B,2,FALSE))),"")</f>
        <v/>
      </c>
      <c r="L80" s="342">
        <f>IFERROR($I80*VLOOKUP($H80,食材表!$A:C,3,FALSE),0)+IFERROR($I81*VLOOKUP($H81,食材表!$A:C,3,FALSE),0)+IFERROR($I82*VLOOKUP($H82,食材表!$A:C,3,FALSE),0)+IFERROR($K80*VLOOKUP($J80,食材表!$A:C,3,FALSE),0)+IFERROR($K81*VLOOKUP($J81,食材表!$A:C,3,FALSE),0)+IFERROR($K82*VLOOKUP($J82,食材表!$A:C,3,FALSE),0)</f>
        <v>2.08</v>
      </c>
      <c r="M80" s="342">
        <f>IFERROR($I80*VLOOKUP($H80,食材表!$A:D,4,FALSE),0)+IFERROR($I81*VLOOKUP($H81,食材表!$A:D,4,FALSE),0)+IFERROR($I82*VLOOKUP($H82,食材表!$A:D,4,FALSE),0)+IFERROR($K80*VLOOKUP($J80,食材表!$A:D,4,FALSE),0)+IFERROR($K81*VLOOKUP($J81,食材表!$A:D,4,FALSE),0)+IFERROR($K82*VLOOKUP($J82,食材表!$A:D,4,FALSE),0)</f>
        <v>0</v>
      </c>
      <c r="N80" s="342">
        <f>IFERROR($I80*VLOOKUP($H80,食材表!$A:E,5,FALSE),0)+IFERROR($I81*VLOOKUP($H81,食材表!$A:E,5,FALSE),0)+IFERROR($I82*VLOOKUP($H82,食材表!$A:E,5,FALSE),0)+IFERROR($K80*VLOOKUP($J80,食材表!$A:E,5,FALSE),0)+IFERROR($K81*VLOOKUP($J81,食材表!$A:E,5,FALSE),0)+IFERROR($K82*VLOOKUP($J82,食材表!$A:E,5,FALSE),0)</f>
        <v>0</v>
      </c>
      <c r="O80" s="342">
        <f>IFERROR($I80*VLOOKUP($H80,食材表!$A:F,6,FALSE),0)+IFERROR($I81*VLOOKUP($H81,食材表!$A:F,6,FALSE),0)+IFERROR($I82*VLOOKUP($H82,食材表!$A:F,6,FALSE),0)+IFERROR($K80*VLOOKUP($J80,食材表!$A:F,6,FALSE),0)+IFERROR($K81*VLOOKUP($J81,食材表!$A:F,6,FALSE),0)+IFERROR($K82*VLOOKUP($J82,食材表!$A:F,6,FALSE),0)</f>
        <v>0</v>
      </c>
      <c r="P80" s="342">
        <f>IFERROR($I80*VLOOKUP($H80,食材表!$A:G,7,FALSE),0)+IFERROR($I81*VLOOKUP($H81,食材表!$A:G,7,FALSE),0)+IFERROR($I82*VLOOKUP($H82,食材表!$A:G,7,FALSE),0)+IFERROR($K80*VLOOKUP($J80,食材表!$A:G,7,FALSE),0)+IFERROR($K81*VLOOKUP($J81,食材表!$A:G,7,FALSE),0)+IFERROR($K82*VLOOKUP($J82,食材表!$A:G,7,FALSE),0)</f>
        <v>0</v>
      </c>
      <c r="Q80" s="342">
        <f>IFERROR($I80*VLOOKUP($H80,食材表!$A:H,8,FALSE),0)+IFERROR($I81*VLOOKUP($H81,食材表!$A:H,8,FALSE),0)+IFERROR($I82*VLOOKUP($H82,食材表!$A:H,8,FALSE),0)+IFERROR($K80*VLOOKUP($J80,食材表!$A:H,8,FALSE),0)+IFERROR($K81*VLOOKUP($J81,食材表!$A:H,8,FALSE),0)+IFERROR($K82*VLOOKUP($J82,食材表!$A:H,8,FALSE),0)</f>
        <v>0</v>
      </c>
      <c r="R80" s="342">
        <f>IFERROR($I80*VLOOKUP($H80,食材表!$A:I,9,FALSE),0)+IFERROR($I81*VLOOKUP($H81,食材表!$A:I,9,FALSE),0)+IFERROR($I82*VLOOKUP($H82,食材表!$A:I,9,FALSE),0)+IFERROR($K80*VLOOKUP($J80,食材表!$A:I,9,FALSE),0)+IFERROR($K81*VLOOKUP($J81,食材表!$A:I,9,FALSE),0)+IFERROR($K82*VLOOKUP($J82,食材表!$A:I,9,FALSE),0)</f>
        <v>0</v>
      </c>
      <c r="S80" s="342">
        <f>SUM(L80*70+M80*75+N80*120+O80*25+P80*60+Q80*45+R80*4)</f>
        <v>145.6</v>
      </c>
    </row>
    <row r="81" spans="1:19">
      <c r="A81" s="33" t="str">
        <f>"2"&amp;+$B80</f>
        <v>2冰烤地瓜</v>
      </c>
      <c r="B81" s="350"/>
      <c r="C81" s="22"/>
      <c r="D81" s="36"/>
      <c r="E81" s="22"/>
      <c r="F81" s="36"/>
      <c r="G81" s="347"/>
      <c r="H81" s="93">
        <f t="shared" ref="H81:H82" si="54">C81</f>
        <v>0</v>
      </c>
      <c r="I81" s="86">
        <f>(2*IFERROR(MID(D81,FIND("2L*",D81)+3,1),0)+1*IFERROR(MID(D81,FIND("1L*",D81)+3,2),0))/$A$1</f>
        <v>0</v>
      </c>
      <c r="J81" s="93">
        <f t="shared" ref="J81:J82" si="55">E81</f>
        <v>0</v>
      </c>
      <c r="K81" s="86" t="str">
        <f>IFERROR(IF(LEN(F81)=LENB(F81),ROUND(LEFT(F81,2*LEN(F81)-LENB(F81))/$A$1,3),((ROUND(LEFT(F81,2*LEN(F81)-LENB(F81))/$A$1,3))*VLOOKUP(J81,食材表!$A:$B,2,FALSE))),"")</f>
        <v/>
      </c>
      <c r="L81" s="343"/>
      <c r="M81" s="343"/>
      <c r="N81" s="343"/>
      <c r="O81" s="343"/>
      <c r="P81" s="343"/>
      <c r="Q81" s="343"/>
      <c r="R81" s="343"/>
      <c r="S81" s="343"/>
    </row>
    <row r="82" spans="1:19">
      <c r="A82" s="33" t="str">
        <f>"3"&amp;+$B80</f>
        <v>3冰烤地瓜</v>
      </c>
      <c r="B82" s="351"/>
      <c r="C82" s="26"/>
      <c r="D82" s="37"/>
      <c r="E82" s="26"/>
      <c r="F82" s="37"/>
      <c r="G82" s="348"/>
      <c r="H82" s="92">
        <f t="shared" si="54"/>
        <v>0</v>
      </c>
      <c r="I82" s="84" t="str">
        <f>IFERROR(IF(LEN(D82)=LENB(D82),ROUND(LEFT(D82,2*LEN(D82)-LENB(D82))/$A$1,3),((ROUND(LEFT(D82,2*LEN(D82)-LENB(D82))/$A$1,3))*VLOOKUP(H82,食材表!$A:$B,2,FALSE))),"")</f>
        <v/>
      </c>
      <c r="J82" s="92">
        <f t="shared" si="55"/>
        <v>0</v>
      </c>
      <c r="K82" s="85" t="str">
        <f>IFERROR(IF(LEN(F82)=LENB(F82),ROUND(LEFT(F82,2*LEN(F82)-LENB(F82))/$A$1,3),((ROUND(LEFT(F82,2*LEN(F82)-LENB(F82))/$A$1,3))*VLOOKUP(J82,食材表!$A:$B,2,FALSE))),"")</f>
        <v/>
      </c>
      <c r="L82" s="344"/>
      <c r="M82" s="344"/>
      <c r="N82" s="344"/>
      <c r="O82" s="344"/>
      <c r="P82" s="344"/>
      <c r="Q82" s="344"/>
      <c r="R82" s="344"/>
      <c r="S82" s="344"/>
    </row>
    <row r="83" spans="1:19">
      <c r="A83" s="33" t="str">
        <f>"1"&amp;+$B83</f>
        <v>1小兔包</v>
      </c>
      <c r="B83" s="349" t="s">
        <v>139</v>
      </c>
      <c r="C83" s="90" t="s">
        <v>139</v>
      </c>
      <c r="D83" s="59" t="s">
        <v>206</v>
      </c>
      <c r="E83" s="60"/>
      <c r="F83" s="59"/>
      <c r="G83" s="352" t="str">
        <f>B83</f>
        <v>小兔包</v>
      </c>
      <c r="H83" s="91" t="str">
        <f>C83</f>
        <v>小兔包</v>
      </c>
      <c r="I83" s="83">
        <f>IFERROR(IF(LEN(D83)=LENB(D83),ROUND(LEFT(D83,2*LEN(D83)-LENB(D83))/$A$1,3),((ROUND(LEFT(D83,2*LEN(D83)-LENB(D83))/$A$1,3))*VLOOKUP(H83,食材表!$A:$B,2,FALSE))),"")</f>
        <v>0.04</v>
      </c>
      <c r="J83" s="91">
        <f>E83</f>
        <v>0</v>
      </c>
      <c r="K83" s="83" t="str">
        <f>IFERROR(IF(LEN(F83)=LENB(F83),ROUND(LEFT(F83,2*LEN(F83)-LENB(F83))/$A$1,3),((ROUND(LEFT(F83,2*LEN(F83)-LENB(F83))/$A$1,3))*VLOOKUP(J83,食材表!$A:$B,2,FALSE))),"")</f>
        <v/>
      </c>
      <c r="L83" s="342">
        <f>IFERROR($I83*VLOOKUP($H83,食材表!$A:C,3,FALSE),0)+IFERROR($I84*VLOOKUP($H84,食材表!$A:C,3,FALSE),0)+IFERROR($I85*VLOOKUP($H85,食材表!$A:C,3,FALSE),0)+IFERROR($K83*VLOOKUP($J83,食材表!$A:C,3,FALSE),0)+IFERROR($K84*VLOOKUP($J84,食材表!$A:C,3,FALSE),0)+IFERROR($K85*VLOOKUP($J85,食材表!$A:C,3,FALSE),0)</f>
        <v>0.04</v>
      </c>
      <c r="M83" s="342">
        <f>IFERROR($I83*VLOOKUP($H83,食材表!$A:D,4,FALSE),0)+IFERROR($I84*VLOOKUP($H84,食材表!$A:D,4,FALSE),0)+IFERROR($I85*VLOOKUP($H85,食材表!$A:D,4,FALSE),0)+IFERROR($K83*VLOOKUP($J83,食材表!$A:D,4,FALSE),0)+IFERROR($K84*VLOOKUP($J84,食材表!$A:D,4,FALSE),0)+IFERROR($K85*VLOOKUP($J85,食材表!$A:D,4,FALSE),0)</f>
        <v>0</v>
      </c>
      <c r="N83" s="342">
        <f>IFERROR($I83*VLOOKUP($H83,食材表!$A:E,5,FALSE),0)+IFERROR($I84*VLOOKUP($H84,食材表!$A:E,5,FALSE),0)+IFERROR($I85*VLOOKUP($H85,食材表!$A:E,5,FALSE),0)+IFERROR($K83*VLOOKUP($J83,食材表!$A:E,5,FALSE),0)+IFERROR($K84*VLOOKUP($J84,食材表!$A:E,5,FALSE),0)+IFERROR($K85*VLOOKUP($J85,食材表!$A:E,5,FALSE),0)</f>
        <v>0</v>
      </c>
      <c r="O83" s="342">
        <f>IFERROR($I83*VLOOKUP($H83,食材表!$A:F,6,FALSE),0)+IFERROR($I84*VLOOKUP($H84,食材表!$A:F,6,FALSE),0)+IFERROR($I85*VLOOKUP($H85,食材表!$A:F,6,FALSE),0)+IFERROR($K83*VLOOKUP($J83,食材表!$A:F,6,FALSE),0)+IFERROR($K84*VLOOKUP($J84,食材表!$A:F,6,FALSE),0)+IFERROR($K85*VLOOKUP($J85,食材表!$A:F,6,FALSE),0)</f>
        <v>0</v>
      </c>
      <c r="P83" s="342">
        <f>IFERROR($I83*VLOOKUP($H83,食材表!$A:G,7,FALSE),0)+IFERROR($I84*VLOOKUP($H84,食材表!$A:G,7,FALSE),0)+IFERROR($I85*VLOOKUP($H85,食材表!$A:G,7,FALSE),0)+IFERROR($K83*VLOOKUP($J83,食材表!$A:G,7,FALSE),0)+IFERROR($K84*VLOOKUP($J84,食材表!$A:G,7,FALSE),0)+IFERROR($K85*VLOOKUP($J85,食材表!$A:G,7,FALSE),0)</f>
        <v>0</v>
      </c>
      <c r="Q83" s="342">
        <f>IFERROR($I83*VLOOKUP($H83,食材表!$A:H,8,FALSE),0)+IFERROR($I84*VLOOKUP($H84,食材表!$A:H,8,FALSE),0)+IFERROR($I85*VLOOKUP($H85,食材表!$A:H,8,FALSE),0)+IFERROR($K83*VLOOKUP($J83,食材表!$A:H,8,FALSE),0)+IFERROR($K84*VLOOKUP($J84,食材表!$A:H,8,FALSE),0)+IFERROR($K85*VLOOKUP($J85,食材表!$A:H,8,FALSE),0)</f>
        <v>0</v>
      </c>
      <c r="R83" s="342">
        <f>IFERROR($I83*VLOOKUP($H83,食材表!$A:I,9,FALSE),0)+IFERROR($I84*VLOOKUP($H84,食材表!$A:I,9,FALSE),0)+IFERROR($I85*VLOOKUP($H85,食材表!$A:I,9,FALSE),0)+IFERROR($K83*VLOOKUP($J83,食材表!$A:I,9,FALSE),0)+IFERROR($K84*VLOOKUP($J84,食材表!$A:I,9,FALSE),0)+IFERROR($K85*VLOOKUP($J85,食材表!$A:I,9,FALSE),0)</f>
        <v>0.2</v>
      </c>
      <c r="S83" s="342">
        <f>SUM(L83*70+M83*75+N83*120+O83*25+P83*60+Q83*45+R83*4)</f>
        <v>3.6000000000000005</v>
      </c>
    </row>
    <row r="84" spans="1:19">
      <c r="A84" s="33" t="str">
        <f>"2"&amp;+$B83</f>
        <v>2小兔包</v>
      </c>
      <c r="B84" s="350"/>
      <c r="C84" s="22"/>
      <c r="D84" s="36"/>
      <c r="E84" s="22"/>
      <c r="F84" s="36"/>
      <c r="G84" s="353"/>
      <c r="H84" s="93">
        <f t="shared" ref="H84:H85" si="56">C84</f>
        <v>0</v>
      </c>
      <c r="I84" s="86" t="str">
        <f>IFERROR(IF(LEN(D84)=LENB(D84),ROUND(LEFT(D84,2*LEN(D84)-LENB(D84))/$A$1,3),((ROUND(LEFT(D84,2*LEN(D84)-LENB(D84))/$A$1,3))*VLOOKUP(H84,食材表!$A:$B,2,FALSE))),"")</f>
        <v/>
      </c>
      <c r="J84" s="93">
        <f t="shared" ref="J84:J85" si="57">E84</f>
        <v>0</v>
      </c>
      <c r="K84" s="86" t="str">
        <f>IFERROR(IF(LEN(F84)=LENB(F84),ROUND(LEFT(F84,2*LEN(F84)-LENB(F84))/$A$1,3),((ROUND(LEFT(F84,2*LEN(F84)-LENB(F84))/$A$1,3))*VLOOKUP(J84,食材表!$A:$B,2,FALSE))),"")</f>
        <v/>
      </c>
      <c r="L84" s="343"/>
      <c r="M84" s="343"/>
      <c r="N84" s="343"/>
      <c r="O84" s="343"/>
      <c r="P84" s="343"/>
      <c r="Q84" s="343"/>
      <c r="R84" s="343"/>
      <c r="S84" s="343"/>
    </row>
    <row r="85" spans="1:19">
      <c r="A85" s="33" t="str">
        <f>"3"&amp;+$B83</f>
        <v>3小兔包</v>
      </c>
      <c r="B85" s="351"/>
      <c r="C85" s="26"/>
      <c r="D85" s="37"/>
      <c r="E85" s="26"/>
      <c r="F85" s="37"/>
      <c r="G85" s="354"/>
      <c r="H85" s="92">
        <f t="shared" si="56"/>
        <v>0</v>
      </c>
      <c r="I85" s="84" t="str">
        <f>IFERROR(IF(LEN(D85)=LENB(D85),ROUND(LEFT(D85,2*LEN(D85)-LENB(D85))/$A$1,3),((ROUND(LEFT(D85,2*LEN(D85)-LENB(D85))/$A$1,3))*VLOOKUP(H85,食材表!$A:$B,2,FALSE))),"")</f>
        <v/>
      </c>
      <c r="J85" s="92">
        <f t="shared" si="57"/>
        <v>0</v>
      </c>
      <c r="K85" s="85" t="str">
        <f>IFERROR(IF(LEN(F85)=LENB(F85),ROUND(LEFT(F85,2*LEN(F85)-LENB(F85))/$A$1,3),((ROUND(LEFT(F85,2*LEN(F85)-LENB(F85))/$A$1,3))*VLOOKUP(J85,食材表!$A:$B,2,FALSE))),"")</f>
        <v/>
      </c>
      <c r="L85" s="344"/>
      <c r="M85" s="344"/>
      <c r="N85" s="344"/>
      <c r="O85" s="344"/>
      <c r="P85" s="344"/>
      <c r="Q85" s="344"/>
      <c r="R85" s="344"/>
      <c r="S85" s="344"/>
    </row>
    <row r="86" spans="1:19">
      <c r="A86" s="33" t="str">
        <f>"1"&amp;+$B86</f>
        <v>1水煮玉米</v>
      </c>
      <c r="B86" s="349" t="s">
        <v>968</v>
      </c>
      <c r="C86" s="60" t="s">
        <v>969</v>
      </c>
      <c r="D86" s="59" t="str">
        <f>ROUND(($A$1+2)/2,0)&amp;+"根"</f>
        <v>26根</v>
      </c>
      <c r="E86" s="60"/>
      <c r="F86" s="36"/>
      <c r="G86" s="352" t="str">
        <f>B86</f>
        <v>水煮玉米</v>
      </c>
      <c r="H86" s="91" t="str">
        <f>C86</f>
        <v>新鮮玉米</v>
      </c>
      <c r="I86" s="83" t="str">
        <f>IFERROR(IF(LEN(D86)=LENB(D86),ROUND(LEFT(D86,2*LEN(D86)-LENB(D86))/$A$1,3),((ROUND(LEFT(D86,2*LEN(D86)-LENB(D86))/$A$1,3))*VLOOKUP(H86,食材表!$A:$B,2,FALSE))),"")</f>
        <v/>
      </c>
      <c r="J86" s="91">
        <f>E86</f>
        <v>0</v>
      </c>
      <c r="K86" s="83" t="str">
        <f>IFERROR(IF(LEN(F86)=LENB(F86),ROUND(LEFT(F86,2*LEN(F86)-LENB(F86))/$A$1,3),((ROUND(LEFT(F86,2*LEN(F86)-LENB(F86))/$A$1,3))*VLOOKUP(J86,食材表!$A:$B,2,FALSE))),"")</f>
        <v/>
      </c>
      <c r="L86" s="342">
        <f>IFERROR($I86*VLOOKUP($H86,食材表!$A:C,3,FALSE),0)+IFERROR($I87*VLOOKUP($H87,食材表!$A:C,3,FALSE),0)+IFERROR($I88*VLOOKUP($H88,食材表!$A:C,3,FALSE),0)+IFERROR($K86*VLOOKUP($J86,食材表!$A:C,3,FALSE),0)+IFERROR($K87*VLOOKUP($J87,食材表!$A:C,3,FALSE),0)+IFERROR($K88*VLOOKUP($J88,食材表!$A:C,3,FALSE),0)</f>
        <v>0</v>
      </c>
      <c r="M86" s="342">
        <f>IFERROR($I86*VLOOKUP($H86,食材表!$A:D,4,FALSE),0)+IFERROR($I87*VLOOKUP($H87,食材表!$A:D,4,FALSE),0)+IFERROR($I88*VLOOKUP($H88,食材表!$A:D,4,FALSE),0)+IFERROR($K86*VLOOKUP($J86,食材表!$A:D,4,FALSE),0)+IFERROR($K87*VLOOKUP($J87,食材表!$A:D,4,FALSE),0)+IFERROR($K88*VLOOKUP($J88,食材表!$A:D,4,FALSE),0)</f>
        <v>0</v>
      </c>
      <c r="N86" s="342">
        <f>IFERROR($I86*VLOOKUP($H86,食材表!$A:E,5,FALSE),0)+IFERROR($I87*VLOOKUP($H87,食材表!$A:E,5,FALSE),0)+IFERROR($I88*VLOOKUP($H88,食材表!$A:E,5,FALSE),0)+IFERROR($K86*VLOOKUP($J86,食材表!$A:E,5,FALSE),0)+IFERROR($K87*VLOOKUP($J87,食材表!$A:E,5,FALSE),0)+IFERROR($K88*VLOOKUP($J88,食材表!$A:E,5,FALSE),0)</f>
        <v>0</v>
      </c>
      <c r="O86" s="342">
        <f>IFERROR($I86*VLOOKUP($H86,食材表!$A:F,6,FALSE),0)+IFERROR($I87*VLOOKUP($H87,食材表!$A:F,6,FALSE),0)+IFERROR($I88*VLOOKUP($H88,食材表!$A:F,6,FALSE),0)+IFERROR($K86*VLOOKUP($J86,食材表!$A:F,6,FALSE),0)+IFERROR($K87*VLOOKUP($J87,食材表!$A:F,6,FALSE),0)+IFERROR($K88*VLOOKUP($J88,食材表!$A:F,6,FALSE),0)</f>
        <v>0</v>
      </c>
      <c r="P86" s="342">
        <f>IFERROR($I86*VLOOKUP($H86,食材表!$A:G,7,FALSE),0)+IFERROR($I87*VLOOKUP($H87,食材表!$A:G,7,FALSE),0)+IFERROR($I88*VLOOKUP($H88,食材表!$A:G,7,FALSE),0)+IFERROR($K86*VLOOKUP($J86,食材表!$A:G,7,FALSE),0)+IFERROR($K87*VLOOKUP($J87,食材表!$A:G,7,FALSE),0)+IFERROR($K88*VLOOKUP($J88,食材表!$A:G,7,FALSE),0)</f>
        <v>0</v>
      </c>
      <c r="Q86" s="342">
        <f>IFERROR($I86*VLOOKUP($H86,食材表!$A:H,8,FALSE),0)+IFERROR($I87*VLOOKUP($H87,食材表!$A:H,8,FALSE),0)+IFERROR($I88*VLOOKUP($H88,食材表!$A:H,8,FALSE),0)+IFERROR($K86*VLOOKUP($J86,食材表!$A:H,8,FALSE),0)+IFERROR($K87*VLOOKUP($J87,食材表!$A:H,8,FALSE),0)+IFERROR($K88*VLOOKUP($J88,食材表!$A:H,8,FALSE),0)</f>
        <v>0</v>
      </c>
      <c r="R86" s="342">
        <f>IFERROR($I86*VLOOKUP($H86,食材表!$A:I,9,FALSE),0)+IFERROR($I87*VLOOKUP($H87,食材表!$A:I,9,FALSE),0)+IFERROR($I88*VLOOKUP($H88,食材表!$A:I,9,FALSE),0)+IFERROR($K86*VLOOKUP($J86,食材表!$A:I,9,FALSE),0)+IFERROR($K87*VLOOKUP($J87,食材表!$A:I,9,FALSE),0)+IFERROR($K88*VLOOKUP($J88,食材表!$A:I,9,FALSE),0)</f>
        <v>0</v>
      </c>
      <c r="S86" s="342">
        <f>SUM(L86*70+M86*75+N86*120+O86*25+P86*60+Q86*45+R86*4)</f>
        <v>0</v>
      </c>
    </row>
    <row r="87" spans="1:19">
      <c r="A87" s="33" t="str">
        <f>"2"&amp;+$B86</f>
        <v>2水煮玉米</v>
      </c>
      <c r="B87" s="350"/>
      <c r="C87" s="22"/>
      <c r="D87" s="41"/>
      <c r="E87" s="22"/>
      <c r="F87" s="36"/>
      <c r="G87" s="353"/>
      <c r="H87" s="93">
        <f t="shared" ref="H87:H88" si="58">C87</f>
        <v>0</v>
      </c>
      <c r="I87" s="86" t="str">
        <f>IFERROR(IF(LEN(D87)=LENB(D87),ROUND(LEFT(D87,2*LEN(D87)-LENB(D87))/$A$1,3),((ROUND(LEFT(D87,2*LEN(D87)-LENB(D87))/$A$1,3))*VLOOKUP(H87,食材表!$A:$B,2,FALSE))),"")</f>
        <v/>
      </c>
      <c r="J87" s="93">
        <f t="shared" ref="J87:J88" si="59">E87</f>
        <v>0</v>
      </c>
      <c r="K87" s="86" t="str">
        <f>IFERROR(IF(LEN(F87)=LENB(F87),ROUND(LEFT(F87,2*LEN(F87)-LENB(F87))/$A$1,3),((ROUND(LEFT(F87,2*LEN(F87)-LENB(F87))/$A$1,3))*VLOOKUP(J87,食材表!$A:$B,2,FALSE))),"")</f>
        <v/>
      </c>
      <c r="L87" s="343"/>
      <c r="M87" s="343"/>
      <c r="N87" s="343"/>
      <c r="O87" s="343"/>
      <c r="P87" s="343"/>
      <c r="Q87" s="343"/>
      <c r="R87" s="343"/>
      <c r="S87" s="343"/>
    </row>
    <row r="88" spans="1:19">
      <c r="A88" s="33" t="str">
        <f>"3"&amp;+$B86</f>
        <v>3水煮玉米</v>
      </c>
      <c r="B88" s="351"/>
      <c r="C88" s="26"/>
      <c r="D88" s="37"/>
      <c r="E88" s="26"/>
      <c r="F88" s="37"/>
      <c r="G88" s="354"/>
      <c r="H88" s="92">
        <f t="shared" si="58"/>
        <v>0</v>
      </c>
      <c r="I88" s="84" t="str">
        <f>IFERROR(IF(LEN(D88)=LENB(D88),ROUND(LEFT(D88,2*LEN(D88)-LENB(D88))/$A$1,3),((ROUND(LEFT(D88,2*LEN(D88)-LENB(D88))/$A$1,3))*VLOOKUP(H88,食材表!$A:$B,2,FALSE))),"")</f>
        <v/>
      </c>
      <c r="J88" s="92">
        <f t="shared" si="59"/>
        <v>0</v>
      </c>
      <c r="K88" s="85" t="str">
        <f>IFERROR(IF(LEN(F88)=LENB(F88),ROUND(LEFT(F88,2*LEN(F88)-LENB(F88))/$A$1,3),((ROUND(LEFT(F88,2*LEN(F88)-LENB(F88))/$A$1,3))*VLOOKUP(J88,食材表!$A:$B,2,FALSE))),"")</f>
        <v/>
      </c>
      <c r="L88" s="344"/>
      <c r="M88" s="344"/>
      <c r="N88" s="344"/>
      <c r="O88" s="344"/>
      <c r="P88" s="344"/>
      <c r="Q88" s="344"/>
      <c r="R88" s="344"/>
      <c r="S88" s="344"/>
    </row>
    <row r="89" spans="1:19">
      <c r="A89" s="33" t="str">
        <f>"1"&amp;+$B89</f>
        <v>1小餐包</v>
      </c>
      <c r="B89" s="350" t="s">
        <v>359</v>
      </c>
      <c r="C89" s="60" t="s">
        <v>359</v>
      </c>
      <c r="D89" s="71" t="str">
        <f>$A$1+2&amp;+"個"</f>
        <v>52個</v>
      </c>
      <c r="E89" s="22"/>
      <c r="F89" s="66"/>
      <c r="G89" s="352" t="str">
        <f>B89</f>
        <v>小餐包</v>
      </c>
      <c r="H89" s="91" t="str">
        <f>C89</f>
        <v>小餐包</v>
      </c>
      <c r="I89" s="83">
        <f>IFERROR(IF(LEN(D89)=LENB(D89),ROUND(LEFT(D89,2*LEN(D89)-LENB(D89))/$A$1,3),((ROUND(LEFT(D89,2*LEN(D89)-LENB(D89))/$A$1,3))*VLOOKUP(H89,食材表!$A:$B,2,FALSE))),"")</f>
        <v>1.04</v>
      </c>
      <c r="J89" s="91">
        <f>E89</f>
        <v>0</v>
      </c>
      <c r="K89" s="83" t="str">
        <f>IFERROR(IF(LEN(F89)=LENB(F89),ROUND(LEFT(F89,2*LEN(F89)-LENB(F89))/$A$1,3),((ROUND(LEFT(F89,2*LEN(F89)-LENB(F89))/$A$1,3))*VLOOKUP(J89,食材表!$A:$B,2,FALSE))),"")</f>
        <v/>
      </c>
      <c r="L89" s="342">
        <f>IFERROR($I89*VLOOKUP($H89,食材表!$A:C,3,FALSE),0)+IFERROR($I90*VLOOKUP($H90,食材表!$A:C,3,FALSE),0)+IFERROR($I91*VLOOKUP($H91,食材表!$A:C,3,FALSE),0)+IFERROR($K89*VLOOKUP($J89,食材表!$A:C,3,FALSE),0)+IFERROR($K90*VLOOKUP($J90,食材表!$A:C,3,FALSE),0)+IFERROR($K91*VLOOKUP($J91,食材表!$A:C,3,FALSE),0)</f>
        <v>1.04</v>
      </c>
      <c r="M89" s="342">
        <f>IFERROR($I89*VLOOKUP($H89,食材表!$A:D,4,FALSE),0)+IFERROR($I90*VLOOKUP($H90,食材表!$A:D,4,FALSE),0)+IFERROR($I91*VLOOKUP($H91,食材表!$A:D,4,FALSE),0)+IFERROR($K89*VLOOKUP($J89,食材表!$A:D,4,FALSE),0)+IFERROR($K90*VLOOKUP($J90,食材表!$A:D,4,FALSE),0)+IFERROR($K91*VLOOKUP($J91,食材表!$A:D,4,FALSE),0)</f>
        <v>0</v>
      </c>
      <c r="N89" s="342">
        <f>IFERROR($I89*VLOOKUP($H89,食材表!$A:E,5,FALSE),0)+IFERROR($I90*VLOOKUP($H90,食材表!$A:E,5,FALSE),0)+IFERROR($I91*VLOOKUP($H91,食材表!$A:E,5,FALSE),0)+IFERROR($K89*VLOOKUP($J89,食材表!$A:E,5,FALSE),0)+IFERROR($K90*VLOOKUP($J90,食材表!$A:E,5,FALSE),0)+IFERROR($K91*VLOOKUP($J91,食材表!$A:E,5,FALSE),0)</f>
        <v>0</v>
      </c>
      <c r="O89" s="342">
        <f>IFERROR($I89*VLOOKUP($H89,食材表!$A:F,6,FALSE),0)+IFERROR($I90*VLOOKUP($H90,食材表!$A:F,6,FALSE),0)+IFERROR($I91*VLOOKUP($H91,食材表!$A:F,6,FALSE),0)+IFERROR($K89*VLOOKUP($J89,食材表!$A:F,6,FALSE),0)+IFERROR($K90*VLOOKUP($J90,食材表!$A:F,6,FALSE),0)+IFERROR($K91*VLOOKUP($J91,食材表!$A:F,6,FALSE),0)</f>
        <v>0</v>
      </c>
      <c r="P89" s="342">
        <f>IFERROR($I89*VLOOKUP($H89,食材表!$A:G,7,FALSE),0)+IFERROR($I90*VLOOKUP($H90,食材表!$A:G,7,FALSE),0)+IFERROR($I91*VLOOKUP($H91,食材表!$A:G,7,FALSE),0)+IFERROR($K89*VLOOKUP($J89,食材表!$A:G,7,FALSE),0)+IFERROR($K90*VLOOKUP($J90,食材表!$A:G,7,FALSE),0)+IFERROR($K91*VLOOKUP($J91,食材表!$A:G,7,FALSE),0)</f>
        <v>0</v>
      </c>
      <c r="Q89" s="342">
        <f>IFERROR($I89*VLOOKUP($H89,食材表!$A:H,8,FALSE),0)+IFERROR($I90*VLOOKUP($H90,食材表!$A:H,8,FALSE),0)+IFERROR($I91*VLOOKUP($H91,食材表!$A:H,8,FALSE),0)+IFERROR($K89*VLOOKUP($J89,食材表!$A:H,8,FALSE),0)+IFERROR($K90*VLOOKUP($J90,食材表!$A:H,8,FALSE),0)+IFERROR($K91*VLOOKUP($J91,食材表!$A:H,8,FALSE),0)</f>
        <v>0</v>
      </c>
      <c r="R89" s="342">
        <f>IFERROR($I89*VLOOKUP($H89,食材表!$A:I,9,FALSE),0)+IFERROR($I90*VLOOKUP($H90,食材表!$A:I,9,FALSE),0)+IFERROR($I91*VLOOKUP($H91,食材表!$A:I,9,FALSE),0)+IFERROR($K89*VLOOKUP($J89,食材表!$A:I,9,FALSE),0)+IFERROR($K90*VLOOKUP($J90,食材表!$A:I,9,FALSE),0)+IFERROR($K91*VLOOKUP($J91,食材表!$A:I,9,FALSE),0)</f>
        <v>0</v>
      </c>
      <c r="S89" s="342">
        <f>SUM(L89*70+M89*75+N89*120+O89*25+P89*60+Q89*45+R89*4)</f>
        <v>72.8</v>
      </c>
    </row>
    <row r="90" spans="1:19">
      <c r="A90" s="33" t="str">
        <f>"2"&amp;+$B89</f>
        <v>2小餐包</v>
      </c>
      <c r="B90" s="383"/>
      <c r="C90" s="45"/>
      <c r="D90" s="46"/>
      <c r="E90" s="100"/>
      <c r="F90" s="66"/>
      <c r="G90" s="353"/>
      <c r="H90" s="93">
        <f t="shared" ref="H90:H91" si="60">C90</f>
        <v>0</v>
      </c>
      <c r="I90" s="86">
        <f>13/$A$1</f>
        <v>0.26</v>
      </c>
      <c r="J90" s="93">
        <f t="shared" ref="J90:J91" si="61">E90</f>
        <v>0</v>
      </c>
      <c r="K90" s="86" t="str">
        <f>IFERROR(IF(LEN(F90)=LENB(F90),ROUND(LEFT(F90,2*LEN(F90)-LENB(F90))/$A$1,3),((ROUND(LEFT(F90,2*LEN(F90)-LENB(F90))/$A$1,3))*VLOOKUP(J90,食材表!$A:$B,2,FALSE))),"")</f>
        <v/>
      </c>
      <c r="L90" s="343"/>
      <c r="M90" s="343"/>
      <c r="N90" s="343"/>
      <c r="O90" s="343"/>
      <c r="P90" s="343"/>
      <c r="Q90" s="343"/>
      <c r="R90" s="343"/>
      <c r="S90" s="343"/>
    </row>
    <row r="91" spans="1:19">
      <c r="A91" s="33" t="str">
        <f>"3"&amp;+$B89</f>
        <v>3小餐包</v>
      </c>
      <c r="B91" s="351"/>
      <c r="C91" s="26"/>
      <c r="D91" s="36"/>
      <c r="E91" s="26"/>
      <c r="F91" s="47"/>
      <c r="G91" s="354"/>
      <c r="H91" s="92">
        <f t="shared" si="60"/>
        <v>0</v>
      </c>
      <c r="I91" s="84" t="str">
        <f>IFERROR(IF(LEN(D91)=LENB(D91),ROUND(LEFT(D91,2*LEN(D91)-LENB(D91))/$A$1,3),((ROUND(LEFT(D91,2*LEN(D91)-LENB(D91))/$A$1,3))*VLOOKUP(H91,食材表!$A:$B,2,FALSE))),"")</f>
        <v/>
      </c>
      <c r="J91" s="92">
        <f t="shared" si="61"/>
        <v>0</v>
      </c>
      <c r="K91" s="85" t="str">
        <f>IFERROR(IF(LEN(F91)=LENB(F91),ROUND(LEFT(F91,2*LEN(F91)-LENB(F91))/$A$1,3),((ROUND(LEFT(F91,2*LEN(F91)-LENB(F91))/$A$1,3))*VLOOKUP(J91,食材表!$A:$B,2,FALSE))),"")</f>
        <v/>
      </c>
      <c r="L91" s="344"/>
      <c r="M91" s="344"/>
      <c r="N91" s="344"/>
      <c r="O91" s="344"/>
      <c r="P91" s="344"/>
      <c r="Q91" s="344"/>
      <c r="R91" s="344"/>
      <c r="S91" s="344"/>
    </row>
    <row r="92" spans="1:19">
      <c r="A92" s="33" t="str">
        <f>"1"&amp;+$B92</f>
        <v>1鮮奶布丁</v>
      </c>
      <c r="B92" s="377" t="s">
        <v>974</v>
      </c>
      <c r="C92" s="57" t="s">
        <v>974</v>
      </c>
      <c r="D92" s="71" t="str">
        <f>$A$1+2&amp;+"個"</f>
        <v>52個</v>
      </c>
      <c r="E92" s="55"/>
      <c r="F92" s="33"/>
      <c r="G92" s="352" t="str">
        <f>B92</f>
        <v>鮮奶布丁</v>
      </c>
      <c r="H92" s="91" t="str">
        <f>C92</f>
        <v>鮮奶布丁</v>
      </c>
      <c r="I92" s="83" t="str">
        <f>IFERROR(IF(LEN(D92)=LENB(D92),ROUND(LEFT(D92,2*LEN(D92)-LENB(D92))/$A$1,3),((ROUND(LEFT(D92,2*LEN(D92)-LENB(D92))/$A$1,3))*VLOOKUP(H92,食材表!$A:$B,2,FALSE))),"")</f>
        <v/>
      </c>
      <c r="J92" s="91">
        <f>E92</f>
        <v>0</v>
      </c>
      <c r="K92" s="83" t="str">
        <f>IFERROR(IF(LEN(F92)=LENB(F92),ROUND(LEFT(F92,2*LEN(F92)-LENB(F92))/$A$1,3),((ROUND(LEFT(F92,2*LEN(F92)-LENB(F92))/$A$1,3))*VLOOKUP(J92,食材表!$A:$B,2,FALSE))),"")</f>
        <v/>
      </c>
      <c r="L92" s="342">
        <f>IFERROR($I92*VLOOKUP($H92,食材表!$A:C,3,FALSE),0)+IFERROR($I93*VLOOKUP($H93,食材表!$A:C,3,FALSE),0)+IFERROR($I94*VLOOKUP($H94,食材表!$A:C,3,FALSE),0)+IFERROR($K92*VLOOKUP($J92,食材表!$A:C,3,FALSE),0)+IFERROR($K93*VLOOKUP($J93,食材表!$A:C,3,FALSE),0)+IFERROR($K94*VLOOKUP($J94,食材表!$A:C,3,FALSE),0)</f>
        <v>0</v>
      </c>
      <c r="M92" s="342">
        <f>IFERROR($I92*VLOOKUP($H92,食材表!$A:D,4,FALSE),0)+IFERROR($I93*VLOOKUP($H93,食材表!$A:D,4,FALSE),0)+IFERROR($I94*VLOOKUP($H94,食材表!$A:D,4,FALSE),0)+IFERROR($K92*VLOOKUP($J92,食材表!$A:D,4,FALSE),0)+IFERROR($K93*VLOOKUP($J93,食材表!$A:D,4,FALSE),0)+IFERROR($K94*VLOOKUP($J94,食材表!$A:D,4,FALSE),0)</f>
        <v>0</v>
      </c>
      <c r="N92" s="342">
        <f>IFERROR($I92*VLOOKUP($H92,食材表!$A:E,5,FALSE),0)+IFERROR($I93*VLOOKUP($H93,食材表!$A:E,5,FALSE),0)+IFERROR($I94*VLOOKUP($H94,食材表!$A:E,5,FALSE),0)+IFERROR($K92*VLOOKUP($J92,食材表!$A:E,5,FALSE),0)+IFERROR($K93*VLOOKUP($J93,食材表!$A:E,5,FALSE),0)+IFERROR($K94*VLOOKUP($J94,食材表!$A:E,5,FALSE),0)</f>
        <v>0</v>
      </c>
      <c r="O92" s="342">
        <f>IFERROR($I92*VLOOKUP($H92,食材表!$A:F,6,FALSE),0)+IFERROR($I93*VLOOKUP($H93,食材表!$A:F,6,FALSE),0)+IFERROR($I94*VLOOKUP($H94,食材表!$A:F,6,FALSE),0)+IFERROR($K92*VLOOKUP($J92,食材表!$A:F,6,FALSE),0)+IFERROR($K93*VLOOKUP($J93,食材表!$A:F,6,FALSE),0)+IFERROR($K94*VLOOKUP($J94,食材表!$A:F,6,FALSE),0)</f>
        <v>0</v>
      </c>
      <c r="P92" s="342">
        <f>IFERROR($I92*VLOOKUP($H92,食材表!$A:G,7,FALSE),0)+IFERROR($I93*VLOOKUP($H93,食材表!$A:G,7,FALSE),0)+IFERROR($I94*VLOOKUP($H94,食材表!$A:G,7,FALSE),0)+IFERROR($K92*VLOOKUP($J92,食材表!$A:G,7,FALSE),0)+IFERROR($K93*VLOOKUP($J93,食材表!$A:G,7,FALSE),0)+IFERROR($K94*VLOOKUP($J94,食材表!$A:G,7,FALSE),0)</f>
        <v>0</v>
      </c>
      <c r="Q92" s="342">
        <f>IFERROR($I92*VLOOKUP($H92,食材表!$A:H,8,FALSE),0)+IFERROR($I93*VLOOKUP($H93,食材表!$A:H,8,FALSE),0)+IFERROR($I94*VLOOKUP($H94,食材表!$A:H,8,FALSE),0)+IFERROR($K92*VLOOKUP($J92,食材表!$A:H,8,FALSE),0)+IFERROR($K93*VLOOKUP($J93,食材表!$A:H,8,FALSE),0)+IFERROR($K94*VLOOKUP($J94,食材表!$A:H,8,FALSE),0)</f>
        <v>0</v>
      </c>
      <c r="R92" s="342">
        <f>IFERROR($I92*VLOOKUP($H92,食材表!$A:I,9,FALSE),0)+IFERROR($I93*VLOOKUP($H93,食材表!$A:I,9,FALSE),0)+IFERROR($I94*VLOOKUP($H94,食材表!$A:I,9,FALSE),0)+IFERROR($K92*VLOOKUP($J92,食材表!$A:I,9,FALSE),0)+IFERROR($K93*VLOOKUP($J93,食材表!$A:I,9,FALSE),0)+IFERROR($K94*VLOOKUP($J94,食材表!$A:I,9,FALSE),0)</f>
        <v>0</v>
      </c>
      <c r="S92" s="342">
        <f>SUM(L92*70+M92*75+N92*120+O92*25+P92*60+Q92*45+R92*4)</f>
        <v>0</v>
      </c>
    </row>
    <row r="93" spans="1:19">
      <c r="A93" s="33" t="str">
        <f>"2"&amp;+$B92</f>
        <v>2鮮奶布丁</v>
      </c>
      <c r="B93" s="378"/>
      <c r="C93" s="32"/>
      <c r="D93" s="48"/>
      <c r="E93" s="31"/>
      <c r="F93" s="33"/>
      <c r="G93" s="353"/>
      <c r="H93" s="93">
        <f t="shared" ref="H93:H94" si="62">C93</f>
        <v>0</v>
      </c>
      <c r="I93" s="86">
        <f>13/$A$1</f>
        <v>0.26</v>
      </c>
      <c r="J93" s="93">
        <f t="shared" ref="J93:J94" si="63">E93</f>
        <v>0</v>
      </c>
      <c r="K93" s="86" t="str">
        <f>IFERROR(IF(LEN(F93)=LENB(F93),ROUND(LEFT(F93,2*LEN(F93)-LENB(F93))/$A$1,3),((ROUND(LEFT(F93,2*LEN(F93)-LENB(F93))/$A$1,3))*VLOOKUP(J93,食材表!$A:$B,2,FALSE))),"")</f>
        <v/>
      </c>
      <c r="L93" s="343"/>
      <c r="M93" s="343"/>
      <c r="N93" s="343"/>
      <c r="O93" s="343"/>
      <c r="P93" s="343"/>
      <c r="Q93" s="343"/>
      <c r="R93" s="343"/>
      <c r="S93" s="343"/>
    </row>
    <row r="94" spans="1:19">
      <c r="A94" s="33" t="str">
        <f>"3"&amp;+$B92</f>
        <v>3鮮奶布丁</v>
      </c>
      <c r="B94" s="379"/>
      <c r="C94" s="28"/>
      <c r="D94" s="8"/>
      <c r="E94" s="28"/>
      <c r="F94" s="8"/>
      <c r="G94" s="354"/>
      <c r="H94" s="92">
        <f t="shared" si="62"/>
        <v>0</v>
      </c>
      <c r="I94" s="84" t="str">
        <f>IFERROR(IF(LEN(D94)=LENB(D94),ROUND(LEFT(D94,2*LEN(D94)-LENB(D94))/$A$1,3),((ROUND(LEFT(D94,2*LEN(D94)-LENB(D94))/$A$1,3))*VLOOKUP(H94,食材表!$A:$B,2,FALSE))),"")</f>
        <v/>
      </c>
      <c r="J94" s="92">
        <f t="shared" si="63"/>
        <v>0</v>
      </c>
      <c r="K94" s="85" t="str">
        <f>IFERROR(IF(LEN(F94)=LENB(F94),ROUND(LEFT(F94,2*LEN(F94)-LENB(F94))/$A$1,3),((ROUND(LEFT(F94,2*LEN(F94)-LENB(F94))/$A$1,3))*VLOOKUP(J94,食材表!$A:$B,2,FALSE))),"")</f>
        <v/>
      </c>
      <c r="L94" s="344"/>
      <c r="M94" s="344"/>
      <c r="N94" s="344"/>
      <c r="O94" s="344"/>
      <c r="P94" s="344"/>
      <c r="Q94" s="344"/>
      <c r="R94" s="344"/>
      <c r="S94" s="344"/>
    </row>
    <row r="95" spans="1:19">
      <c r="A95" s="33" t="str">
        <f>"1"&amp;+$B95</f>
        <v>1水餃</v>
      </c>
      <c r="B95" s="272" t="s">
        <v>253</v>
      </c>
      <c r="C95" s="60" t="s">
        <v>253</v>
      </c>
      <c r="D95" s="71" t="str">
        <f>($A$1+2)*2&amp;+"個"</f>
        <v>104個</v>
      </c>
      <c r="E95" s="89"/>
      <c r="F95" s="59"/>
      <c r="G95" s="352" t="str">
        <f>B95</f>
        <v>水餃</v>
      </c>
      <c r="H95" s="91" t="str">
        <f>C95</f>
        <v>水餃</v>
      </c>
      <c r="I95" s="83">
        <f>IFERROR(IF(LEN(D95)=LENB(D95),ROUND(LEFT(D95,2*LEN(D95)-LENB(D95))/$A$1,3),((ROUND(LEFT(D95,2*LEN(D95)-LENB(D95))/$A$1,3))*VLOOKUP(H95,食材表!$A:$B,2,FALSE))),"")</f>
        <v>2.08</v>
      </c>
      <c r="J95" s="91">
        <f>E95</f>
        <v>0</v>
      </c>
      <c r="K95" s="83" t="str">
        <f>IFERROR(IF(LEN(F95)=LENB(F95),ROUND(LEFT(F95,2*LEN(F95)-LENB(F95))/$A$1,3),((ROUND(LEFT(F95,2*LEN(F95)-LENB(F95))/$A$1,3))*VLOOKUP(J95,食材表!$A:$B,2,FALSE))),"")</f>
        <v/>
      </c>
      <c r="L95" s="342">
        <f>IFERROR($I95*VLOOKUP($H95,食材表!$A:C,3,FALSE),0)+IFERROR($I96*VLOOKUP($H96,食材表!$A:C,3,FALSE),0)+IFERROR($I97*VLOOKUP($H97,食材表!$A:C,3,FALSE),0)+IFERROR($K95*VLOOKUP($J95,食材表!$A:C,3,FALSE),0)+IFERROR($K96*VLOOKUP($J96,食材表!$A:C,3,FALSE),0)+IFERROR($K97*VLOOKUP($J97,食材表!$A:C,3,FALSE),0)</f>
        <v>0.72799999999999998</v>
      </c>
      <c r="M95" s="342">
        <f>IFERROR($I95*VLOOKUP($H95,食材表!$A:D,4,FALSE),0)+IFERROR($I96*VLOOKUP($H96,食材表!$A:D,4,FALSE),0)+IFERROR($I97*VLOOKUP($H97,食材表!$A:D,4,FALSE),0)+IFERROR($K95*VLOOKUP($J95,食材表!$A:D,4,FALSE),0)+IFERROR($K96*VLOOKUP($J96,食材表!$A:D,4,FALSE),0)+IFERROR($K97*VLOOKUP($J97,食材表!$A:D,4,FALSE),0)</f>
        <v>0.35360000000000003</v>
      </c>
      <c r="N95" s="342">
        <f>IFERROR($I95*VLOOKUP($H95,食材表!$A:E,5,FALSE),0)+IFERROR($I96*VLOOKUP($H96,食材表!$A:E,5,FALSE),0)+IFERROR($I97*VLOOKUP($H97,食材表!$A:E,5,FALSE),0)+IFERROR($K95*VLOOKUP($J95,食材表!$A:E,5,FALSE),0)+IFERROR($K96*VLOOKUP($J96,食材表!$A:E,5,FALSE),0)+IFERROR($K97*VLOOKUP($J97,食材表!$A:E,5,FALSE),0)</f>
        <v>0</v>
      </c>
      <c r="O95" s="342">
        <f>IFERROR($I95*VLOOKUP($H95,食材表!$A:F,6,FALSE),0)+IFERROR($I96*VLOOKUP($H96,食材表!$A:F,6,FALSE),0)+IFERROR($I97*VLOOKUP($H97,食材表!$A:F,6,FALSE),0)+IFERROR($K95*VLOOKUP($J95,食材表!$A:F,6,FALSE),0)+IFERROR($K96*VLOOKUP($J96,食材表!$A:F,6,FALSE),0)+IFERROR($K97*VLOOKUP($J97,食材表!$A:F,6,FALSE),0)</f>
        <v>0</v>
      </c>
      <c r="P95" s="342">
        <f>IFERROR($I95*VLOOKUP($H95,食材表!$A:G,7,FALSE),0)+IFERROR($I96*VLOOKUP($H96,食材表!$A:G,7,FALSE),0)+IFERROR($I97*VLOOKUP($H97,食材表!$A:G,7,FALSE),0)+IFERROR($K95*VLOOKUP($J95,食材表!$A:G,7,FALSE),0)+IFERROR($K96*VLOOKUP($J96,食材表!$A:G,7,FALSE),0)+IFERROR($K97*VLOOKUP($J97,食材表!$A:G,7,FALSE),0)</f>
        <v>0</v>
      </c>
      <c r="Q95" s="342">
        <f>IFERROR($I95*VLOOKUP($H95,食材表!$A:H,8,FALSE),0)+IFERROR($I96*VLOOKUP($H96,食材表!$A:H,8,FALSE),0)+IFERROR($I97*VLOOKUP($H97,食材表!$A:H,8,FALSE),0)+IFERROR($K95*VLOOKUP($J95,食材表!$A:H,8,FALSE),0)+IFERROR($K96*VLOOKUP($J96,食材表!$A:H,8,FALSE),0)+IFERROR($K97*VLOOKUP($J97,食材表!$A:H,8,FALSE),0)</f>
        <v>0</v>
      </c>
      <c r="R95" s="342">
        <f>IFERROR($I95*VLOOKUP($H95,食材表!$A:I,9,FALSE),0)+IFERROR($I96*VLOOKUP($H96,食材表!$A:I,9,FALSE),0)+IFERROR($I97*VLOOKUP($H97,食材表!$A:I,9,FALSE),0)+IFERROR($K95*VLOOKUP($J95,食材表!$A:I,9,FALSE),0)+IFERROR($K96*VLOOKUP($J96,食材表!$A:I,9,FALSE),0)+IFERROR($K97*VLOOKUP($J97,食材表!$A:I,9,FALSE),0)</f>
        <v>0</v>
      </c>
      <c r="S95" s="342">
        <f>SUM(L95*70+M95*75+N95*120+O95*25+P95*60+Q95*45+R95*4)</f>
        <v>77.48</v>
      </c>
    </row>
    <row r="96" spans="1:19">
      <c r="A96" s="33" t="str">
        <f>"2"&amp;+$B95</f>
        <v>2水餃</v>
      </c>
      <c r="B96" s="272"/>
      <c r="C96" s="22"/>
      <c r="D96" s="36"/>
      <c r="E96" s="23"/>
      <c r="F96" s="41"/>
      <c r="G96" s="353"/>
      <c r="H96" s="93">
        <f t="shared" ref="H96:H97" si="64">C96</f>
        <v>0</v>
      </c>
      <c r="I96" s="86" t="str">
        <f>IFERROR(IF(LEN(D96)=LENB(D96),ROUND(LEFT(D96,2*LEN(D96)-LENB(D96))/$A$1,3),((ROUND(LEFT(D96,2*LEN(D96)-LENB(D96))/$A$1,3))*VLOOKUP(H96,食材表!$A:$B,2,FALSE))),"")</f>
        <v/>
      </c>
      <c r="J96" s="93">
        <f t="shared" ref="J96:J97" si="65">E96</f>
        <v>0</v>
      </c>
      <c r="K96" s="86" t="str">
        <f>IFERROR(IF(LEN(F96)=LENB(F96),ROUND(LEFT(F96,2*LEN(F96)-LENB(F96))/$A$1,3),((ROUND(LEFT(F96,2*LEN(F96)-LENB(F96))/$A$1,3))*VLOOKUP(J96,食材表!$A:$B,2,FALSE))),"")</f>
        <v/>
      </c>
      <c r="L96" s="343"/>
      <c r="M96" s="343"/>
      <c r="N96" s="343"/>
      <c r="O96" s="343"/>
      <c r="P96" s="343"/>
      <c r="Q96" s="343"/>
      <c r="R96" s="343"/>
      <c r="S96" s="343"/>
    </row>
    <row r="97" spans="1:19">
      <c r="A97" s="33" t="str">
        <f>"3"&amp;+$B95</f>
        <v>3水餃</v>
      </c>
      <c r="B97" s="273"/>
      <c r="C97" s="26"/>
      <c r="D97" s="37"/>
      <c r="E97" s="25"/>
      <c r="F97" s="37"/>
      <c r="G97" s="354"/>
      <c r="H97" s="92">
        <f t="shared" si="64"/>
        <v>0</v>
      </c>
      <c r="I97" s="84" t="str">
        <f>IFERROR(IF(LEN(D97)=LENB(D97),ROUND(LEFT(D97,2*LEN(D97)-LENB(D97))/$A$1,3),((ROUND(LEFT(D97,2*LEN(D97)-LENB(D97))/$A$1,3))*VLOOKUP(H97,食材表!$A:$B,2,FALSE))),"")</f>
        <v/>
      </c>
      <c r="J97" s="92">
        <f t="shared" si="65"/>
        <v>0</v>
      </c>
      <c r="K97" s="85" t="str">
        <f>IFERROR(IF(LEN(F97)=LENB(F97),ROUND(LEFT(F97,2*LEN(F97)-LENB(F97))/$A$1,3),((ROUND(LEFT(F97,2*LEN(F97)-LENB(F97))/$A$1,3))*VLOOKUP(J97,食材表!$A:$B,2,FALSE))),"")</f>
        <v/>
      </c>
      <c r="L97" s="344"/>
      <c r="M97" s="344"/>
      <c r="N97" s="344"/>
      <c r="O97" s="344"/>
      <c r="P97" s="344"/>
      <c r="Q97" s="344"/>
      <c r="R97" s="344"/>
      <c r="S97" s="344"/>
    </row>
    <row r="98" spans="1:19">
      <c r="A98" s="33" t="str">
        <f>"1"&amp;+$B98</f>
        <v>1鍋貼</v>
      </c>
      <c r="B98" s="349" t="s">
        <v>129</v>
      </c>
      <c r="C98" s="60" t="s">
        <v>129</v>
      </c>
      <c r="D98" s="71" t="str">
        <f>($A$1+2)*2&amp;+"個"</f>
        <v>104個</v>
      </c>
      <c r="E98" s="60"/>
      <c r="F98" s="36"/>
      <c r="G98" s="352" t="str">
        <f>B98</f>
        <v>鍋貼</v>
      </c>
      <c r="H98" s="91" t="str">
        <f>C98</f>
        <v>鍋貼</v>
      </c>
      <c r="I98" s="83">
        <f>IFERROR(IF(LEN(D98)=LENB(D98),ROUND(LEFT(D98,2*LEN(D98)-LENB(D98))/$A$1,3),((ROUND(LEFT(D98,2*LEN(D98)-LENB(D98))/$A$1,3))*VLOOKUP(H98,食材表!$A:$B,2,FALSE))),"")</f>
        <v>2.08</v>
      </c>
      <c r="J98" s="91">
        <f>E98</f>
        <v>0</v>
      </c>
      <c r="K98" s="83" t="str">
        <f>IFERROR(IF(LEN(F98)=LENB(F98),ROUND(LEFT(F98,2*LEN(F98)-LENB(F98))/$A$1,3),((ROUND(LEFT(F98,2*LEN(F98)-LENB(F98))/$A$1,3))*VLOOKUP(J98,食材表!$A:$B,2,FALSE))),"")</f>
        <v/>
      </c>
      <c r="L98" s="342">
        <f>IFERROR($I98*VLOOKUP($H98,食材表!$A:C,3,FALSE),0)+IFERROR($I99*VLOOKUP($H99,食材表!$A:C,3,FALSE),0)+IFERROR($I100*VLOOKUP($H100,食材表!$A:C,3,FALSE),0)+IFERROR($K98*VLOOKUP($J98,食材表!$A:C,3,FALSE),0)+IFERROR($K99*VLOOKUP($J99,食材表!$A:C,3,FALSE),0)+IFERROR($K100*VLOOKUP($J100,食材表!$A:C,3,FALSE),0)</f>
        <v>0.76960000000000006</v>
      </c>
      <c r="M98" s="342">
        <f>IFERROR($I98*VLOOKUP($H98,食材表!$A:D,4,FALSE),0)+IFERROR($I99*VLOOKUP($H99,食材表!$A:D,4,FALSE),0)+IFERROR($I100*VLOOKUP($H100,食材表!$A:D,4,FALSE),0)+IFERROR($K98*VLOOKUP($J98,食材表!$A:D,4,FALSE),0)+IFERROR($K99*VLOOKUP($J99,食材表!$A:D,4,FALSE),0)+IFERROR($K100*VLOOKUP($J100,食材表!$A:D,4,FALSE),0)</f>
        <v>0.35360000000000003</v>
      </c>
      <c r="N98" s="342">
        <f>IFERROR($I98*VLOOKUP($H98,食材表!$A:E,5,FALSE),0)+IFERROR($I99*VLOOKUP($H99,食材表!$A:E,5,FALSE),0)+IFERROR($I100*VLOOKUP($H100,食材表!$A:E,5,FALSE),0)+IFERROR($K98*VLOOKUP($J98,食材表!$A:E,5,FALSE),0)+IFERROR($K99*VLOOKUP($J99,食材表!$A:E,5,FALSE),0)+IFERROR($K100*VLOOKUP($J100,食材表!$A:E,5,FALSE),0)</f>
        <v>0</v>
      </c>
      <c r="O98" s="342">
        <f>IFERROR($I98*VLOOKUP($H98,食材表!$A:F,6,FALSE),0)+IFERROR($I99*VLOOKUP($H99,食材表!$A:F,6,FALSE),0)+IFERROR($I100*VLOOKUP($H100,食材表!$A:F,6,FALSE),0)+IFERROR($K98*VLOOKUP($J98,食材表!$A:F,6,FALSE),0)+IFERROR($K99*VLOOKUP($J99,食材表!$A:F,6,FALSE),0)+IFERROR($K100*VLOOKUP($J100,食材表!$A:F,6,FALSE),0)</f>
        <v>0</v>
      </c>
      <c r="P98" s="342">
        <f>IFERROR($I98*VLOOKUP($H98,食材表!$A:G,7,FALSE),0)+IFERROR($I99*VLOOKUP($H99,食材表!$A:G,7,FALSE),0)+IFERROR($I100*VLOOKUP($H100,食材表!$A:G,7,FALSE),0)+IFERROR($K98*VLOOKUP($J98,食材表!$A:G,7,FALSE),0)+IFERROR($K99*VLOOKUP($J99,食材表!$A:G,7,FALSE),0)+IFERROR($K100*VLOOKUP($J100,食材表!$A:G,7,FALSE),0)</f>
        <v>0</v>
      </c>
      <c r="Q98" s="342">
        <f>IFERROR($I98*VLOOKUP($H98,食材表!$A:H,8,FALSE),0)+IFERROR($I99*VLOOKUP($H99,食材表!$A:H,8,FALSE),0)+IFERROR($I100*VLOOKUP($H100,食材表!$A:H,8,FALSE),0)+IFERROR($K98*VLOOKUP($J98,食材表!$A:H,8,FALSE),0)+IFERROR($K99*VLOOKUP($J99,食材表!$A:H,8,FALSE),0)+IFERROR($K100*VLOOKUP($J100,食材表!$A:H,8,FALSE),0)</f>
        <v>1.456</v>
      </c>
      <c r="R98" s="342">
        <f>IFERROR($I98*VLOOKUP($H98,食材表!$A:I,9,FALSE),0)+IFERROR($I99*VLOOKUP($H99,食材表!$A:I,9,FALSE),0)+IFERROR($I100*VLOOKUP($H100,食材表!$A:I,9,FALSE),0)+IFERROR($K98*VLOOKUP($J98,食材表!$A:I,9,FALSE),0)+IFERROR($K99*VLOOKUP($J99,食材表!$A:I,9,FALSE),0)+IFERROR($K100*VLOOKUP($J100,食材表!$A:I,9,FALSE),0)</f>
        <v>0</v>
      </c>
      <c r="S98" s="342">
        <f>SUM(L98*70+M98*75+N98*120+O98*25+P98*60+Q98*45+R98*4)</f>
        <v>145.91200000000001</v>
      </c>
    </row>
    <row r="99" spans="1:19">
      <c r="A99" s="33" t="str">
        <f>"2"&amp;+$B98</f>
        <v>2鍋貼</v>
      </c>
      <c r="B99" s="350"/>
      <c r="C99" s="22"/>
      <c r="D99" s="36"/>
      <c r="E99" s="22"/>
      <c r="F99" s="36"/>
      <c r="G99" s="353"/>
      <c r="H99" s="93">
        <f t="shared" ref="H99:H100" si="66">C99</f>
        <v>0</v>
      </c>
      <c r="I99" s="86" t="str">
        <f>IFERROR(IF(LEN(D99)=LENB(D99),ROUND(LEFT(D99,2*LEN(D99)-LENB(D99))/$A$1,3),((ROUND(LEFT(D99,2*LEN(D99)-LENB(D99))/$A$1,3))*VLOOKUP(H99,食材表!$A:$B,2,FALSE))),"")</f>
        <v/>
      </c>
      <c r="J99" s="93">
        <f t="shared" ref="J99:J100" si="67">E99</f>
        <v>0</v>
      </c>
      <c r="K99" s="86" t="str">
        <f>IFERROR(IF(LEN(F99)=LENB(F99),ROUND(LEFT(F99,2*LEN(F99)-LENB(F99))/$A$1,3),((ROUND(LEFT(F99,2*LEN(F99)-LENB(F99))/$A$1,3))*VLOOKUP(J99,食材表!$A:$B,2,FALSE))),"")</f>
        <v/>
      </c>
      <c r="L99" s="343"/>
      <c r="M99" s="343"/>
      <c r="N99" s="343"/>
      <c r="O99" s="343"/>
      <c r="P99" s="343"/>
      <c r="Q99" s="343"/>
      <c r="R99" s="343"/>
      <c r="S99" s="343"/>
    </row>
    <row r="100" spans="1:19">
      <c r="A100" s="33" t="str">
        <f>"3"&amp;+$B98</f>
        <v>3鍋貼</v>
      </c>
      <c r="B100" s="351"/>
      <c r="C100" s="26"/>
      <c r="D100" s="37"/>
      <c r="E100" s="26"/>
      <c r="F100" s="37"/>
      <c r="G100" s="354"/>
      <c r="H100" s="92">
        <f t="shared" si="66"/>
        <v>0</v>
      </c>
      <c r="I100" s="84" t="str">
        <f>IFERROR(IF(LEN(D100)=LENB(D100),ROUND(LEFT(D100,2*LEN(D100)-LENB(D100))/$A$1,3),((ROUND(LEFT(D100,2*LEN(D100)-LENB(D100))/$A$1,3))*VLOOKUP(H100,食材表!$A:$B,2,FALSE))),"")</f>
        <v/>
      </c>
      <c r="J100" s="92">
        <f t="shared" si="67"/>
        <v>0</v>
      </c>
      <c r="K100" s="85" t="str">
        <f>IFERROR(IF(LEN(F100)=LENB(F100),ROUND(LEFT(F100,2*LEN(F100)-LENB(F100))/$A$1,3),((ROUND(LEFT(F100,2*LEN(F100)-LENB(F100))/$A$1,3))*VLOOKUP(J100,食材表!$A:$B,2,FALSE))),"")</f>
        <v/>
      </c>
      <c r="L100" s="344"/>
      <c r="M100" s="344"/>
      <c r="N100" s="344"/>
      <c r="O100" s="344"/>
      <c r="P100" s="344"/>
      <c r="Q100" s="344"/>
      <c r="R100" s="344"/>
      <c r="S100" s="344"/>
    </row>
    <row r="101" spans="1:19">
      <c r="A101" s="33" t="str">
        <f>"1"&amp;+$B101</f>
        <v>1小籠包</v>
      </c>
      <c r="B101" s="349" t="s">
        <v>1057</v>
      </c>
      <c r="C101" s="60" t="s">
        <v>1057</v>
      </c>
      <c r="D101" s="71" t="str">
        <f>($A$1+2)*2&amp;+"個"</f>
        <v>104個</v>
      </c>
      <c r="E101" s="60"/>
      <c r="F101" s="36"/>
      <c r="G101" s="352" t="str">
        <f>B101</f>
        <v>小籠包</v>
      </c>
      <c r="H101" s="91" t="str">
        <f>C101</f>
        <v>小籠包</v>
      </c>
      <c r="I101" s="83">
        <f>IFERROR(IF(LEN(D101)=LENB(D101),ROUND(LEFT(D101,2*LEN(D101)-LENB(D101))/$A$1,3),((ROUND(LEFT(D101,2*LEN(D101)-LENB(D101))/$A$1,3))*VLOOKUP(H101,食材表!$A:$B,2,FALSE))),"")</f>
        <v>2.08</v>
      </c>
      <c r="J101" s="91">
        <f>E101</f>
        <v>0</v>
      </c>
      <c r="K101" s="83" t="str">
        <f>IFERROR(IF(LEN(F101)=LENB(F101),ROUND(LEFT(F101,2*LEN(F101)-LENB(F101))/$A$1,3),((ROUND(LEFT(F101,2*LEN(F101)-LENB(F101))/$A$1,3))*VLOOKUP(J101,食材表!$A:$B,2,FALSE))),"")</f>
        <v/>
      </c>
      <c r="L101" s="342">
        <f>IFERROR($I101*VLOOKUP($H101,食材表!$A:C,3,FALSE),0)+IFERROR($I102*VLOOKUP($H102,食材表!$A:C,3,FALSE),0)+IFERROR($I103*VLOOKUP($H103,食材表!$A:C,3,FALSE),0)+IFERROR($K101*VLOOKUP($J101,食材表!$A:C,3,FALSE),0)+IFERROR($K102*VLOOKUP($J102,食材表!$A:C,3,FALSE),0)+IFERROR($K103*VLOOKUP($J103,食材表!$A:C,3,FALSE),0)</f>
        <v>0.624</v>
      </c>
      <c r="M101" s="342">
        <f>IFERROR($I101*VLOOKUP($H101,食材表!$A:D,4,FALSE),0)+IFERROR($I102*VLOOKUP($H102,食材表!$A:D,4,FALSE),0)+IFERROR($I103*VLOOKUP($H103,食材表!$A:D,4,FALSE),0)+IFERROR($K101*VLOOKUP($J101,食材表!$A:D,4,FALSE),0)+IFERROR($K102*VLOOKUP($J102,食材表!$A:D,4,FALSE),0)+IFERROR($K103*VLOOKUP($J103,食材表!$A:D,4,FALSE),0)</f>
        <v>0.624</v>
      </c>
      <c r="N101" s="342">
        <f>IFERROR($I101*VLOOKUP($H101,食材表!$A:E,5,FALSE),0)+IFERROR($I102*VLOOKUP($H102,食材表!$A:E,5,FALSE),0)+IFERROR($I103*VLOOKUP($H103,食材表!$A:E,5,FALSE),0)+IFERROR($K101*VLOOKUP($J101,食材表!$A:E,5,FALSE),0)+IFERROR($K102*VLOOKUP($J102,食材表!$A:E,5,FALSE),0)+IFERROR($K103*VLOOKUP($J103,食材表!$A:E,5,FALSE),0)</f>
        <v>0</v>
      </c>
      <c r="O101" s="342">
        <f>IFERROR($I101*VLOOKUP($H101,食材表!$A:F,6,FALSE),0)+IFERROR($I102*VLOOKUP($H102,食材表!$A:F,6,FALSE),0)+IFERROR($I103*VLOOKUP($H103,食材表!$A:F,6,FALSE),0)+IFERROR($K101*VLOOKUP($J101,食材表!$A:F,6,FALSE),0)+IFERROR($K102*VLOOKUP($J102,食材表!$A:F,6,FALSE),0)+IFERROR($K103*VLOOKUP($J103,食材表!$A:F,6,FALSE),0)</f>
        <v>0</v>
      </c>
      <c r="P101" s="342">
        <f>IFERROR($I101*VLOOKUP($H101,食材表!$A:G,7,FALSE),0)+IFERROR($I102*VLOOKUP($H102,食材表!$A:G,7,FALSE),0)+IFERROR($I103*VLOOKUP($H103,食材表!$A:G,7,FALSE),0)+IFERROR($K101*VLOOKUP($J101,食材表!$A:G,7,FALSE),0)+IFERROR($K102*VLOOKUP($J102,食材表!$A:G,7,FALSE),0)+IFERROR($K103*VLOOKUP($J103,食材表!$A:G,7,FALSE),0)</f>
        <v>0</v>
      </c>
      <c r="Q101" s="342">
        <f>IFERROR($I101*VLOOKUP($H101,食材表!$A:H,8,FALSE),0)+IFERROR($I102*VLOOKUP($H102,食材表!$A:H,8,FALSE),0)+IFERROR($I103*VLOOKUP($H103,食材表!$A:H,8,FALSE),0)+IFERROR($K101*VLOOKUP($J101,食材表!$A:H,8,FALSE),0)+IFERROR($K102*VLOOKUP($J102,食材表!$A:H,8,FALSE),0)+IFERROR($K103*VLOOKUP($J103,食材表!$A:H,8,FALSE),0)</f>
        <v>1.04</v>
      </c>
      <c r="R101" s="342">
        <f>IFERROR($I101*VLOOKUP($H101,食材表!$A:I,9,FALSE),0)+IFERROR($I102*VLOOKUP($H102,食材表!$A:I,9,FALSE),0)+IFERROR($I103*VLOOKUP($H103,食材表!$A:I,9,FALSE),0)+IFERROR($K101*VLOOKUP($J101,食材表!$A:I,9,FALSE),0)+IFERROR($K102*VLOOKUP($J102,食材表!$A:I,9,FALSE),0)+IFERROR($K103*VLOOKUP($J103,食材表!$A:I,9,FALSE),0)</f>
        <v>0</v>
      </c>
      <c r="S101" s="342">
        <f>SUM(L101*70+M101*75+N101*120+O101*25+P101*60+Q101*45+R101*4)</f>
        <v>137.28</v>
      </c>
    </row>
    <row r="102" spans="1:19">
      <c r="A102" s="33" t="str">
        <f>"2"&amp;+$B101</f>
        <v>2小籠包</v>
      </c>
      <c r="B102" s="350"/>
      <c r="C102" s="22"/>
      <c r="D102" s="36"/>
      <c r="E102" s="22"/>
      <c r="F102" s="36"/>
      <c r="G102" s="353"/>
      <c r="H102" s="93">
        <f t="shared" ref="H102:H103" si="68">C102</f>
        <v>0</v>
      </c>
      <c r="I102" s="86" t="str">
        <f>IFERROR(IF(LEN(D102)=LENB(D102),ROUND(LEFT(D102,2*LEN(D102)-LENB(D102))/$A$1,3),((ROUND(LEFT(D102,2*LEN(D102)-LENB(D102))/$A$1,3))*VLOOKUP(H102,食材表!$A:$B,2,FALSE))),"")</f>
        <v/>
      </c>
      <c r="J102" s="93">
        <f t="shared" ref="J102:J103" si="69">E102</f>
        <v>0</v>
      </c>
      <c r="K102" s="86" t="str">
        <f>IFERROR(IF(LEN(F102)=LENB(F102),ROUND(LEFT(F102,2*LEN(F102)-LENB(F102))/$A$1,3),((ROUND(LEFT(F102,2*LEN(F102)-LENB(F102))/$A$1,3))*VLOOKUP(J102,食材表!$A:$B,2,FALSE))),"")</f>
        <v/>
      </c>
      <c r="L102" s="343"/>
      <c r="M102" s="343"/>
      <c r="N102" s="343"/>
      <c r="O102" s="343"/>
      <c r="P102" s="343"/>
      <c r="Q102" s="343"/>
      <c r="R102" s="343"/>
      <c r="S102" s="343"/>
    </row>
    <row r="103" spans="1:19">
      <c r="A103" s="33" t="str">
        <f>"3"&amp;+$B101</f>
        <v>3小籠包</v>
      </c>
      <c r="B103" s="351"/>
      <c r="C103" s="26"/>
      <c r="D103" s="37"/>
      <c r="E103" s="26"/>
      <c r="F103" s="37"/>
      <c r="G103" s="354"/>
      <c r="H103" s="92">
        <f t="shared" si="68"/>
        <v>0</v>
      </c>
      <c r="I103" s="84" t="str">
        <f>IFERROR(IF(LEN(D103)=LENB(D103),ROUND(LEFT(D103,2*LEN(D103)-LENB(D103))/$A$1,3),((ROUND(LEFT(D103,2*LEN(D103)-LENB(D103))/$A$1,3))*VLOOKUP(H103,食材表!$A:$B,2,FALSE))),"")</f>
        <v/>
      </c>
      <c r="J103" s="92">
        <f t="shared" si="69"/>
        <v>0</v>
      </c>
      <c r="K103" s="85" t="str">
        <f>IFERROR(IF(LEN(F103)=LENB(F103),ROUND(LEFT(F103,2*LEN(F103)-LENB(F103))/$A$1,3),((ROUND(LEFT(F103,2*LEN(F103)-LENB(F103))/$A$1,3))*VLOOKUP(J103,食材表!$A:$B,2,FALSE))),"")</f>
        <v/>
      </c>
      <c r="L103" s="344"/>
      <c r="M103" s="344"/>
      <c r="N103" s="344"/>
      <c r="O103" s="344"/>
      <c r="P103" s="344"/>
      <c r="Q103" s="344"/>
      <c r="R103" s="344"/>
      <c r="S103" s="344"/>
    </row>
    <row r="104" spans="1:19">
      <c r="A104" s="33" t="str">
        <f>"1"&amp;+$B104</f>
        <v>1燒賣</v>
      </c>
      <c r="B104" s="349" t="s">
        <v>1141</v>
      </c>
      <c r="C104" s="60" t="s">
        <v>395</v>
      </c>
      <c r="D104" s="71" t="str">
        <f>($A$1+2)*2&amp;+"個"</f>
        <v>104個</v>
      </c>
      <c r="E104" s="60"/>
      <c r="F104" s="36"/>
      <c r="G104" s="352" t="str">
        <f>B104</f>
        <v>燒賣</v>
      </c>
      <c r="H104" s="91" t="str">
        <f>C104</f>
        <v>燒賣</v>
      </c>
      <c r="I104" s="83">
        <f>IFERROR(IF(LEN(D104)=LENB(D104),ROUND(LEFT(D104,2*LEN(D104)-LENB(D104))/$A$1,3),((ROUND(LEFT(D104,2*LEN(D104)-LENB(D104))/$A$1,3))*VLOOKUP(H104,食材表!$A:$B,2,FALSE))),"")</f>
        <v>2.08</v>
      </c>
      <c r="J104" s="91">
        <f>E104</f>
        <v>0</v>
      </c>
      <c r="K104" s="83" t="str">
        <f>IFERROR(IF(LEN(F104)=LENB(F104),ROUND(LEFT(F104,2*LEN(F104)-LENB(F104))/$A$1,3),((ROUND(LEFT(F104,2*LEN(F104)-LENB(F104))/$A$1,3))*VLOOKUP(J104,食材表!$A:$B,2,FALSE))),"")</f>
        <v/>
      </c>
      <c r="L104" s="342">
        <f>IFERROR($I104*VLOOKUP($H104,食材表!$A:C,3,FALSE),0)+IFERROR($I105*VLOOKUP($H105,食材表!$A:C,3,FALSE),0)+IFERROR($I106*VLOOKUP($H106,食材表!$A:C,3,FALSE),0)+IFERROR($K104*VLOOKUP($J104,食材表!$A:C,3,FALSE),0)+IFERROR($K105*VLOOKUP($J105,食材表!$A:C,3,FALSE),0)+IFERROR($K106*VLOOKUP($J106,食材表!$A:C,3,FALSE),0)</f>
        <v>0.41600000000000004</v>
      </c>
      <c r="M104" s="342">
        <f>IFERROR($I104*VLOOKUP($H104,食材表!$A:D,4,FALSE),0)+IFERROR($I105*VLOOKUP($H105,食材表!$A:D,4,FALSE),0)+IFERROR($I106*VLOOKUP($H106,食材表!$A:D,4,FALSE),0)+IFERROR($K104*VLOOKUP($J104,食材表!$A:D,4,FALSE),0)+IFERROR($K105*VLOOKUP($J105,食材表!$A:D,4,FALSE),0)+IFERROR($K106*VLOOKUP($J106,食材表!$A:D,4,FALSE),0)</f>
        <v>0.41600000000000004</v>
      </c>
      <c r="N104" s="342">
        <f>IFERROR($I104*VLOOKUP($H104,食材表!$A:E,5,FALSE),0)+IFERROR($I105*VLOOKUP($H105,食材表!$A:E,5,FALSE),0)+IFERROR($I106*VLOOKUP($H106,食材表!$A:E,5,FALSE),0)+IFERROR($K104*VLOOKUP($J104,食材表!$A:E,5,FALSE),0)+IFERROR($K105*VLOOKUP($J105,食材表!$A:E,5,FALSE),0)+IFERROR($K106*VLOOKUP($J106,食材表!$A:E,5,FALSE),0)</f>
        <v>0</v>
      </c>
      <c r="O104" s="342">
        <f>IFERROR($I104*VLOOKUP($H104,食材表!$A:F,6,FALSE),0)+IFERROR($I105*VLOOKUP($H105,食材表!$A:F,6,FALSE),0)+IFERROR($I106*VLOOKUP($H106,食材表!$A:F,6,FALSE),0)+IFERROR($K104*VLOOKUP($J104,食材表!$A:F,6,FALSE),0)+IFERROR($K105*VLOOKUP($J105,食材表!$A:F,6,FALSE),0)+IFERROR($K106*VLOOKUP($J106,食材表!$A:F,6,FALSE),0)</f>
        <v>0</v>
      </c>
      <c r="P104" s="342">
        <f>IFERROR($I104*VLOOKUP($H104,食材表!$A:G,7,FALSE),0)+IFERROR($I105*VLOOKUP($H105,食材表!$A:G,7,FALSE),0)+IFERROR($I106*VLOOKUP($H106,食材表!$A:G,7,FALSE),0)+IFERROR($K104*VLOOKUP($J104,食材表!$A:G,7,FALSE),0)+IFERROR($K105*VLOOKUP($J105,食材表!$A:G,7,FALSE),0)+IFERROR($K106*VLOOKUP($J106,食材表!$A:G,7,FALSE),0)</f>
        <v>0</v>
      </c>
      <c r="Q104" s="342">
        <f>IFERROR($I104*VLOOKUP($H104,食材表!$A:H,8,FALSE),0)+IFERROR($I105*VLOOKUP($H105,食材表!$A:H,8,FALSE),0)+IFERROR($I106*VLOOKUP($H106,食材表!$A:H,8,FALSE),0)+IFERROR($K104*VLOOKUP($J104,食材表!$A:H,8,FALSE),0)+IFERROR($K105*VLOOKUP($J105,食材表!$A:H,8,FALSE),0)+IFERROR($K106*VLOOKUP($J106,食材表!$A:H,8,FALSE),0)</f>
        <v>0.41600000000000004</v>
      </c>
      <c r="R104" s="342">
        <f>IFERROR($I104*VLOOKUP($H104,食材表!$A:I,9,FALSE),0)+IFERROR($I105*VLOOKUP($H105,食材表!$A:I,9,FALSE),0)+IFERROR($I106*VLOOKUP($H106,食材表!$A:I,9,FALSE),0)+IFERROR($K104*VLOOKUP($J104,食材表!$A:I,9,FALSE),0)+IFERROR($K105*VLOOKUP($J105,食材表!$A:I,9,FALSE),0)+IFERROR($K106*VLOOKUP($J106,食材表!$A:I,9,FALSE),0)</f>
        <v>0</v>
      </c>
      <c r="S104" s="342">
        <f>SUM(L104*70+M104*75+N104*120+O104*25+P104*60+Q104*45+R104*4)</f>
        <v>79.040000000000006</v>
      </c>
    </row>
    <row r="105" spans="1:19">
      <c r="A105" s="33" t="str">
        <f>"2"&amp;+$B104</f>
        <v>2燒賣</v>
      </c>
      <c r="B105" s="350"/>
      <c r="C105" s="22"/>
      <c r="D105" s="36"/>
      <c r="E105" s="22"/>
      <c r="F105" s="36"/>
      <c r="G105" s="353"/>
      <c r="H105" s="93">
        <f t="shared" ref="H105:H106" si="70">C105</f>
        <v>0</v>
      </c>
      <c r="I105" s="86" t="str">
        <f>IFERROR(IF(LEN(D105)=LENB(D105),ROUND(LEFT(D105,2*LEN(D105)-LENB(D105))/$A$1,3),((ROUND(LEFT(D105,2*LEN(D105)-LENB(D105))/$A$1,3))*VLOOKUP(H105,食材表!$A:$B,2,FALSE))),"")</f>
        <v/>
      </c>
      <c r="J105" s="93">
        <f t="shared" ref="J105:J106" si="71">E105</f>
        <v>0</v>
      </c>
      <c r="K105" s="86" t="str">
        <f>IFERROR(IF(LEN(F105)=LENB(F105),ROUND(LEFT(F105,2*LEN(F105)-LENB(F105))/$A$1,3),((ROUND(LEFT(F105,2*LEN(F105)-LENB(F105))/$A$1,3))*VLOOKUP(J105,食材表!$A:$B,2,FALSE))),"")</f>
        <v/>
      </c>
      <c r="L105" s="343"/>
      <c r="M105" s="343"/>
      <c r="N105" s="343"/>
      <c r="O105" s="343"/>
      <c r="P105" s="343"/>
      <c r="Q105" s="343"/>
      <c r="R105" s="343"/>
      <c r="S105" s="343"/>
    </row>
    <row r="106" spans="1:19">
      <c r="A106" s="33" t="str">
        <f>"3"&amp;+$B104</f>
        <v>3燒賣</v>
      </c>
      <c r="B106" s="351"/>
      <c r="C106" s="26"/>
      <c r="D106" s="37"/>
      <c r="E106" s="26"/>
      <c r="F106" s="37"/>
      <c r="G106" s="354"/>
      <c r="H106" s="92">
        <f t="shared" si="70"/>
        <v>0</v>
      </c>
      <c r="I106" s="84" t="str">
        <f>IFERROR(IF(LEN(D106)=LENB(D106),ROUND(LEFT(D106,2*LEN(D106)-LENB(D106))/$A$1,3),((ROUND(LEFT(D106,2*LEN(D106)-LENB(D106))/$A$1,3))*VLOOKUP(H106,食材表!$A:$B,2,FALSE))),"")</f>
        <v/>
      </c>
      <c r="J106" s="92">
        <f t="shared" si="71"/>
        <v>0</v>
      </c>
      <c r="K106" s="85" t="str">
        <f>IFERROR(IF(LEN(F106)=LENB(F106),ROUND(LEFT(F106,2*LEN(F106)-LENB(F106))/$A$1,3),((ROUND(LEFT(F106,2*LEN(F106)-LENB(F106))/$A$1,3))*VLOOKUP(J106,食材表!$A:$B,2,FALSE))),"")</f>
        <v/>
      </c>
      <c r="L106" s="344"/>
      <c r="M106" s="344"/>
      <c r="N106" s="344"/>
      <c r="O106" s="344"/>
      <c r="P106" s="344"/>
      <c r="Q106" s="344"/>
      <c r="R106" s="344"/>
      <c r="S106" s="344"/>
    </row>
    <row r="107" spans="1:19">
      <c r="A107" s="33" t="str">
        <f>"1"&amp;+$B107</f>
        <v>1燒賣+豆漿</v>
      </c>
      <c r="B107" s="349" t="s">
        <v>1142</v>
      </c>
      <c r="C107" s="60" t="s">
        <v>395</v>
      </c>
      <c r="D107" s="71" t="str">
        <f>($A$1+2)*2&amp;+"個"</f>
        <v>104個</v>
      </c>
      <c r="E107" s="60"/>
      <c r="F107" s="36"/>
      <c r="G107" s="352" t="str">
        <f>B107</f>
        <v>燒賣+豆漿</v>
      </c>
      <c r="H107" s="91" t="str">
        <f>C107</f>
        <v>燒賣</v>
      </c>
      <c r="I107" s="83">
        <f>IFERROR(IF(LEN(D107)=LENB(D107),ROUND(LEFT(D107,2*LEN(D107)-LENB(D107))/$A$1,3),((ROUND(LEFT(D107,2*LEN(D107)-LENB(D107))/$A$1,3))*VLOOKUP(H107,食材表!$A:$B,2,FALSE))),"")</f>
        <v>2.08</v>
      </c>
      <c r="J107" s="91">
        <f>E107</f>
        <v>0</v>
      </c>
      <c r="K107" s="83" t="str">
        <f>IFERROR(IF(LEN(F107)=LENB(F107),ROUND(LEFT(F107,2*LEN(F107)-LENB(F107))/$A$1,3),((ROUND(LEFT(F107,2*LEN(F107)-LENB(F107))/$A$1,3))*VLOOKUP(J107,食材表!$A:$B,2,FALSE))),"")</f>
        <v/>
      </c>
      <c r="L107" s="342">
        <f>IFERROR($I107*VLOOKUP($H107,食材表!$A:C,3,FALSE),0)+IFERROR($I108*VLOOKUP($H108,食材表!$A:C,3,FALSE),0)+IFERROR($I109*VLOOKUP($H109,食材表!$A:C,3,FALSE),0)+IFERROR($K107*VLOOKUP($J107,食材表!$A:C,3,FALSE),0)+IFERROR($K108*VLOOKUP($J108,食材表!$A:C,3,FALSE),0)+IFERROR($K109*VLOOKUP($J109,食材表!$A:C,3,FALSE),0)</f>
        <v>0.41600000000000004</v>
      </c>
      <c r="M107" s="342">
        <f>IFERROR($I107*VLOOKUP($H107,食材表!$A:D,4,FALSE),0)+IFERROR($I108*VLOOKUP($H108,食材表!$A:D,4,FALSE),0)+IFERROR($I109*VLOOKUP($H109,食材表!$A:D,4,FALSE),0)+IFERROR($K107*VLOOKUP($J107,食材表!$A:D,4,FALSE),0)+IFERROR($K108*VLOOKUP($J108,食材表!$A:D,4,FALSE),0)+IFERROR($K109*VLOOKUP($J109,食材表!$A:D,4,FALSE),0)</f>
        <v>1.1440000000000001</v>
      </c>
      <c r="N107" s="342">
        <f>IFERROR($I107*VLOOKUP($H107,食材表!$A:E,5,FALSE),0)+IFERROR($I108*VLOOKUP($H108,食材表!$A:E,5,FALSE),0)+IFERROR($I109*VLOOKUP($H109,食材表!$A:E,5,FALSE),0)+IFERROR($K107*VLOOKUP($J107,食材表!$A:E,5,FALSE),0)+IFERROR($K108*VLOOKUP($J108,食材表!$A:E,5,FALSE),0)+IFERROR($K109*VLOOKUP($J109,食材表!$A:E,5,FALSE),0)</f>
        <v>0</v>
      </c>
      <c r="O107" s="342">
        <f>IFERROR($I107*VLOOKUP($H107,食材表!$A:F,6,FALSE),0)+IFERROR($I108*VLOOKUP($H108,食材表!$A:F,6,FALSE),0)+IFERROR($I109*VLOOKUP($H109,食材表!$A:F,6,FALSE),0)+IFERROR($K107*VLOOKUP($J107,食材表!$A:F,6,FALSE),0)+IFERROR($K108*VLOOKUP($J108,食材表!$A:F,6,FALSE),0)+IFERROR($K109*VLOOKUP($J109,食材表!$A:F,6,FALSE),0)</f>
        <v>0</v>
      </c>
      <c r="P107" s="342">
        <f>IFERROR($I107*VLOOKUP($H107,食材表!$A:G,7,FALSE),0)+IFERROR($I108*VLOOKUP($H108,食材表!$A:G,7,FALSE),0)+IFERROR($I109*VLOOKUP($H109,食材表!$A:G,7,FALSE),0)+IFERROR($K107*VLOOKUP($J107,食材表!$A:G,7,FALSE),0)+IFERROR($K108*VLOOKUP($J108,食材表!$A:G,7,FALSE),0)+IFERROR($K109*VLOOKUP($J109,食材表!$A:G,7,FALSE),0)</f>
        <v>0</v>
      </c>
      <c r="Q107" s="342">
        <f>IFERROR($I107*VLOOKUP($H107,食材表!$A:H,8,FALSE),0)+IFERROR($I108*VLOOKUP($H108,食材表!$A:H,8,FALSE),0)+IFERROR($I109*VLOOKUP($H109,食材表!$A:H,8,FALSE),0)+IFERROR($K107*VLOOKUP($J107,食材表!$A:H,8,FALSE),0)+IFERROR($K108*VLOOKUP($J108,食材表!$A:H,8,FALSE),0)+IFERROR($K109*VLOOKUP($J109,食材表!$A:H,8,FALSE),0)</f>
        <v>0.41600000000000004</v>
      </c>
      <c r="R107" s="342">
        <f>IFERROR($I107*VLOOKUP($H107,食材表!$A:I,9,FALSE),0)+IFERROR($I108*VLOOKUP($H108,食材表!$A:I,9,FALSE),0)+IFERROR($I109*VLOOKUP($H109,食材表!$A:I,9,FALSE),0)+IFERROR($K107*VLOOKUP($J107,食材表!$A:I,9,FALSE),0)+IFERROR($K108*VLOOKUP($J108,食材表!$A:I,9,FALSE),0)+IFERROR($K109*VLOOKUP($J109,食材表!$A:I,9,FALSE),0)</f>
        <v>0</v>
      </c>
      <c r="S107" s="342">
        <f>SUM(L107*70+M107*75+N107*120+O107*25+P107*60+Q107*45+R107*4)</f>
        <v>133.64000000000001</v>
      </c>
    </row>
    <row r="108" spans="1:19">
      <c r="A108" s="33" t="str">
        <f>"2"&amp;+$B107</f>
        <v>2燒賣+豆漿</v>
      </c>
      <c r="B108" s="350"/>
      <c r="C108" s="22" t="s">
        <v>69</v>
      </c>
      <c r="D108" s="33" t="s">
        <v>1212</v>
      </c>
      <c r="E108" s="22"/>
      <c r="F108" s="36"/>
      <c r="G108" s="353"/>
      <c r="H108" s="93" t="str">
        <f t="shared" ref="H108:H109" si="72">C108</f>
        <v>豆漿</v>
      </c>
      <c r="I108" s="84">
        <f>(2*IFERROR(MID(D108,FIND("2L*",D108)+3,1),0)+1*IFERROR(MID(D108,FIND("1L*",D108)+3,2),0))/$A$1</f>
        <v>0.14000000000000001</v>
      </c>
      <c r="J108" s="93">
        <f t="shared" ref="J108:J109" si="73">E108</f>
        <v>0</v>
      </c>
      <c r="K108" s="86" t="str">
        <f>IFERROR(IF(LEN(F108)=LENB(F108),ROUND(LEFT(F108,2*LEN(F108)-LENB(F108))/$A$1,3),((ROUND(LEFT(F108,2*LEN(F108)-LENB(F108))/$A$1,3))*VLOOKUP(J108,食材表!$A:$B,2,FALSE))),"")</f>
        <v/>
      </c>
      <c r="L108" s="343"/>
      <c r="M108" s="343"/>
      <c r="N108" s="343"/>
      <c r="O108" s="343"/>
      <c r="P108" s="343"/>
      <c r="Q108" s="343"/>
      <c r="R108" s="343"/>
      <c r="S108" s="343"/>
    </row>
    <row r="109" spans="1:19">
      <c r="A109" s="33" t="str">
        <f>"3"&amp;+$B107</f>
        <v>3燒賣+豆漿</v>
      </c>
      <c r="B109" s="351"/>
      <c r="C109" s="26"/>
      <c r="D109" s="37"/>
      <c r="E109" s="26"/>
      <c r="F109" s="37"/>
      <c r="G109" s="354"/>
      <c r="H109" s="92">
        <f t="shared" si="72"/>
        <v>0</v>
      </c>
      <c r="I109" s="84" t="str">
        <f>IFERROR(IF(LEN(D109)=LENB(D109),ROUND(LEFT(D109,2*LEN(D109)-LENB(D109))/$A$1,3),((ROUND(LEFT(D109,2*LEN(D109)-LENB(D109))/$A$1,3))*VLOOKUP(H109,食材表!$A:$B,2,FALSE))),"")</f>
        <v/>
      </c>
      <c r="J109" s="92">
        <f t="shared" si="73"/>
        <v>0</v>
      </c>
      <c r="K109" s="85" t="str">
        <f>IFERROR(IF(LEN(F109)=LENB(F109),ROUND(LEFT(F109,2*LEN(F109)-LENB(F109))/$A$1,3),((ROUND(LEFT(F109,2*LEN(F109)-LENB(F109))/$A$1,3))*VLOOKUP(J109,食材表!$A:$B,2,FALSE))),"")</f>
        <v/>
      </c>
      <c r="L109" s="344"/>
      <c r="M109" s="344"/>
      <c r="N109" s="344"/>
      <c r="O109" s="344"/>
      <c r="P109" s="344"/>
      <c r="Q109" s="344"/>
      <c r="R109" s="344"/>
      <c r="S109" s="344"/>
    </row>
    <row r="110" spans="1:19">
      <c r="A110" s="33" t="str">
        <f>"1"&amp;+$B110</f>
        <v>1白菜獅子頭</v>
      </c>
      <c r="B110" s="349" t="s">
        <v>1213</v>
      </c>
      <c r="C110" s="60" t="s">
        <v>1202</v>
      </c>
      <c r="D110" s="71" t="str">
        <f>($A$1+2)&amp;+"個"</f>
        <v>52個</v>
      </c>
      <c r="E110" s="60" t="s">
        <v>85</v>
      </c>
      <c r="F110" s="36">
        <v>0.6</v>
      </c>
      <c r="G110" s="352" t="str">
        <f>B110</f>
        <v>白菜獅子頭</v>
      </c>
      <c r="H110" s="91" t="str">
        <f>C110</f>
        <v>獅子頭</v>
      </c>
      <c r="I110" s="83">
        <f>IFERROR(IF(LEN(D110)=LENB(D110),ROUND(LEFT(D110,2*LEN(D110)-LENB(D110))/$A$1,3),((ROUND(LEFT(D110,2*LEN(D110)-LENB(D110))/$A$1,3))*VLOOKUP(H110,食材表!$A:$B,2,FALSE))),"")</f>
        <v>1.04</v>
      </c>
      <c r="J110" s="91" t="str">
        <f>E110</f>
        <v>太白粉</v>
      </c>
      <c r="K110" s="83">
        <f>IFERROR(IF(LEN(F110)=LENB(F110),ROUND(LEFT(F110,2*LEN(F110)-LENB(F110))/$A$1,3),((ROUND(LEFT(F110,2*LEN(F110)-LENB(F110))/$A$1,3))*VLOOKUP(J110,食材表!$A:$B,2,FALSE))),"")</f>
        <v>1.2E-2</v>
      </c>
      <c r="L110" s="342">
        <f>IFERROR($I110*VLOOKUP($H110,食材表!$A:C,3,FALSE),0)+IFERROR($I111*VLOOKUP($H111,食材表!$A:C,3,FALSE),0)+IFERROR($I112*VLOOKUP($H112,食材表!$A:C,3,FALSE),0)+IFERROR($K110*VLOOKUP($J110,食材表!$A:C,3,FALSE),0)+IFERROR($K111*VLOOKUP($J111,食材表!$A:C,3,FALSE),0)+IFERROR($K112*VLOOKUP($J112,食材表!$A:C,3,FALSE),0)</f>
        <v>1.2666666666666666</v>
      </c>
      <c r="M110" s="342">
        <f>IFERROR($I110*VLOOKUP($H110,食材表!$A:D,4,FALSE),0)+IFERROR($I111*VLOOKUP($H111,食材表!$A:D,4,FALSE),0)+IFERROR($I112*VLOOKUP($H112,食材表!$A:D,4,FALSE),0)+IFERROR($K110*VLOOKUP($J110,食材表!$A:D,4,FALSE),0)+IFERROR($K111*VLOOKUP($J111,食材表!$A:D,4,FALSE),0)+IFERROR($K112*VLOOKUP($J112,食材表!$A:D,4,FALSE),0)</f>
        <v>0.83200000000000007</v>
      </c>
      <c r="N110" s="342">
        <f>IFERROR($I110*VLOOKUP($H110,食材表!$A:E,5,FALSE),0)+IFERROR($I111*VLOOKUP($H111,食材表!$A:E,5,FALSE),0)+IFERROR($I112*VLOOKUP($H112,食材表!$A:E,5,FALSE),0)+IFERROR($K110*VLOOKUP($J110,食材表!$A:E,5,FALSE),0)+IFERROR($K111*VLOOKUP($J111,食材表!$A:E,5,FALSE),0)+IFERROR($K112*VLOOKUP($J112,食材表!$A:E,5,FALSE),0)</f>
        <v>0</v>
      </c>
      <c r="O110" s="342">
        <f>IFERROR($I110*VLOOKUP($H110,食材表!$A:F,6,FALSE),0)+IFERROR($I111*VLOOKUP($H111,食材表!$A:F,6,FALSE),0)+IFERROR($I112*VLOOKUP($H112,食材表!$A:F,6,FALSE),0)+IFERROR($K110*VLOOKUP($J110,食材表!$A:F,6,FALSE),0)+IFERROR($K111*VLOOKUP($J111,食材表!$A:F,6,FALSE),0)+IFERROR($K112*VLOOKUP($J112,食材表!$A:F,6,FALSE),0)</f>
        <v>0.08</v>
      </c>
      <c r="P110" s="342">
        <f>IFERROR($I110*VLOOKUP($H110,食材表!$A:G,7,FALSE),0)+IFERROR($I111*VLOOKUP($H111,食材表!$A:G,7,FALSE),0)+IFERROR($I112*VLOOKUP($H112,食材表!$A:G,7,FALSE),0)+IFERROR($K110*VLOOKUP($J110,食材表!$A:G,7,FALSE),0)+IFERROR($K111*VLOOKUP($J111,食材表!$A:G,7,FALSE),0)+IFERROR($K112*VLOOKUP($J112,食材表!$A:G,7,FALSE),0)</f>
        <v>0</v>
      </c>
      <c r="Q110" s="342">
        <f>IFERROR($I110*VLOOKUP($H110,食材表!$A:H,8,FALSE),0)+IFERROR($I111*VLOOKUP($H111,食材表!$A:H,8,FALSE),0)+IFERROR($I112*VLOOKUP($H112,食材表!$A:H,8,FALSE),0)+IFERROR($K110*VLOOKUP($J110,食材表!$A:H,8,FALSE),0)+IFERROR($K111*VLOOKUP($J111,食材表!$A:H,8,FALSE),0)+IFERROR($K112*VLOOKUP($J112,食材表!$A:H,8,FALSE),0)</f>
        <v>0</v>
      </c>
      <c r="R110" s="342">
        <f>IFERROR($I110*VLOOKUP($H110,食材表!$A:I,9,FALSE),0)+IFERROR($I111*VLOOKUP($H111,食材表!$A:I,9,FALSE),0)+IFERROR($I112*VLOOKUP($H112,食材表!$A:I,9,FALSE),0)+IFERROR($K110*VLOOKUP($J110,食材表!$A:I,9,FALSE),0)+IFERROR($K111*VLOOKUP($J111,食材表!$A:I,9,FALSE),0)+IFERROR($K112*VLOOKUP($J112,食材表!$A:I,9,FALSE),0)</f>
        <v>0</v>
      </c>
      <c r="S110" s="342">
        <f>SUM(L110*70+M110*75+N110*120+O110*25+P110*60+Q110*45+R110*4)</f>
        <v>153.06666666666666</v>
      </c>
    </row>
    <row r="111" spans="1:19">
      <c r="A111" s="33" t="str">
        <f>"2"&amp;+$B110</f>
        <v>2白菜獅子頭</v>
      </c>
      <c r="B111" s="350"/>
      <c r="C111" s="22" t="s">
        <v>82</v>
      </c>
      <c r="D111" s="36">
        <v>0.8</v>
      </c>
      <c r="E111" s="22" t="s">
        <v>83</v>
      </c>
      <c r="F111" s="36">
        <v>0.3</v>
      </c>
      <c r="G111" s="353"/>
      <c r="H111" s="93" t="str">
        <f t="shared" ref="H111:H112" si="74">C111</f>
        <v>大白菜</v>
      </c>
      <c r="I111" s="86">
        <f>IFERROR(IF(LEN(D111)=LENB(D111),ROUND(LEFT(D111,2*LEN(D111)-LENB(D111))/$A$1,3),((ROUND(LEFT(D111,2*LEN(D111)-LENB(D111))/$A$1,3))*VLOOKUP(H111,食材表!$A:$B,2,FALSE))),"")</f>
        <v>1.6E-2</v>
      </c>
      <c r="J111" s="93" t="str">
        <f t="shared" ref="J111:J112" si="75">E111</f>
        <v>木耳</v>
      </c>
      <c r="K111" s="86">
        <f>IFERROR(IF(LEN(F111)=LENB(F111),ROUND(LEFT(F111,2*LEN(F111)-LENB(F111))/$A$1,3),((ROUND(LEFT(F111,2*LEN(F111)-LENB(F111))/$A$1,3))*VLOOKUP(J111,食材表!$A:$B,2,FALSE))),"")</f>
        <v>6.0000000000000001E-3</v>
      </c>
      <c r="L111" s="343"/>
      <c r="M111" s="343"/>
      <c r="N111" s="343"/>
      <c r="O111" s="343"/>
      <c r="P111" s="343"/>
      <c r="Q111" s="343"/>
      <c r="R111" s="343"/>
      <c r="S111" s="343"/>
    </row>
    <row r="112" spans="1:19">
      <c r="A112" s="33" t="str">
        <f>"3"&amp;+$B110</f>
        <v>3白菜獅子頭</v>
      </c>
      <c r="B112" s="351"/>
      <c r="C112" s="26" t="s">
        <v>200</v>
      </c>
      <c r="D112" s="37">
        <v>0.5</v>
      </c>
      <c r="E112" s="26" t="s">
        <v>88</v>
      </c>
      <c r="F112" s="37">
        <v>0.1</v>
      </c>
      <c r="G112" s="354"/>
      <c r="H112" s="92" t="str">
        <f t="shared" si="74"/>
        <v>冬粉</v>
      </c>
      <c r="I112" s="84">
        <f>IFERROR(IF(LEN(D112)=LENB(D112),ROUND(LEFT(D112,2*LEN(D112)-LENB(D112))/$A$1,3),((ROUND(LEFT(D112,2*LEN(D112)-LENB(D112))/$A$1,3))*VLOOKUP(H112,食材表!$A:$B,2,FALSE))),"")</f>
        <v>0.01</v>
      </c>
      <c r="J112" s="92" t="str">
        <f t="shared" si="75"/>
        <v>香菜</v>
      </c>
      <c r="K112" s="85">
        <f>IFERROR(IF(LEN(F112)=LENB(F112),ROUND(LEFT(F112,2*LEN(F112)-LENB(F112))/$A$1,3),((ROUND(LEFT(F112,2*LEN(F112)-LENB(F112))/$A$1,3))*VLOOKUP(J112,食材表!$A:$B,2,FALSE))),"")</f>
        <v>2E-3</v>
      </c>
      <c r="L112" s="344"/>
      <c r="M112" s="344"/>
      <c r="N112" s="344"/>
      <c r="O112" s="344"/>
      <c r="P112" s="344"/>
      <c r="Q112" s="344"/>
      <c r="R112" s="344"/>
      <c r="S112" s="344"/>
    </row>
    <row r="113" spans="1:19">
      <c r="A113" s="33" t="str">
        <f>"1"&amp;+$B113</f>
        <v>1珍珠丸</v>
      </c>
      <c r="B113" s="349" t="s">
        <v>1063</v>
      </c>
      <c r="C113" s="60" t="s">
        <v>1064</v>
      </c>
      <c r="D113" s="71" t="str">
        <f>($A$1+2)*2&amp;+"個"</f>
        <v>104個</v>
      </c>
      <c r="E113" s="60"/>
      <c r="F113" s="36"/>
      <c r="G113" s="352" t="str">
        <f>B113</f>
        <v>珍珠丸</v>
      </c>
      <c r="H113" s="91" t="str">
        <f>C113</f>
        <v>珍珠丸</v>
      </c>
      <c r="I113" s="83">
        <f>IFERROR(IF(LEN(D113)=LENB(D113),ROUND(LEFT(D113,2*LEN(D113)-LENB(D113))/$A$1,3),((ROUND(LEFT(D113,2*LEN(D113)-LENB(D113))/$A$1,3))*VLOOKUP(H113,食材表!$A:$B,2,FALSE))),"")</f>
        <v>2.08</v>
      </c>
      <c r="J113" s="91">
        <f>E113</f>
        <v>0</v>
      </c>
      <c r="K113" s="83" t="str">
        <f>IFERROR(IF(LEN(F113)=LENB(F113),ROUND(LEFT(F113,2*LEN(F113)-LENB(F113))/$A$1,3),((ROUND(LEFT(F113,2*LEN(F113)-LENB(F113))/$A$1,3))*VLOOKUP(J113,食材表!$A:$B,2,FALSE))),"")</f>
        <v/>
      </c>
      <c r="L113" s="342">
        <f>IFERROR($I113*VLOOKUP($H113,食材表!$A:C,3,FALSE),0)+IFERROR($I114*VLOOKUP($H114,食材表!$A:C,3,FALSE),0)+IFERROR($I115*VLOOKUP($H115,食材表!$A:C,3,FALSE),0)+IFERROR($K113*VLOOKUP($J113,食材表!$A:C,3,FALSE),0)+IFERROR($K114*VLOOKUP($J114,食材表!$A:C,3,FALSE),0)+IFERROR($K115*VLOOKUP($J115,食材表!$A:C,3,FALSE),0)</f>
        <v>0.83200000000000007</v>
      </c>
      <c r="M113" s="342">
        <f>IFERROR($I113*VLOOKUP($H113,食材表!$A:D,4,FALSE),0)+IFERROR($I114*VLOOKUP($H114,食材表!$A:D,4,FALSE),0)+IFERROR($I115*VLOOKUP($H115,食材表!$A:D,4,FALSE),0)+IFERROR($K113*VLOOKUP($J113,食材表!$A:D,4,FALSE),0)+IFERROR($K114*VLOOKUP($J114,食材表!$A:D,4,FALSE),0)+IFERROR($K115*VLOOKUP($J115,食材表!$A:D,4,FALSE),0)</f>
        <v>0.624</v>
      </c>
      <c r="N113" s="342">
        <f>IFERROR($I113*VLOOKUP($H113,食材表!$A:E,5,FALSE),0)+IFERROR($I114*VLOOKUP($H114,食材表!$A:E,5,FALSE),0)+IFERROR($I115*VLOOKUP($H115,食材表!$A:E,5,FALSE),0)+IFERROR($K113*VLOOKUP($J113,食材表!$A:E,5,FALSE),0)+IFERROR($K114*VLOOKUP($J114,食材表!$A:E,5,FALSE),0)+IFERROR($K115*VLOOKUP($J115,食材表!$A:E,5,FALSE),0)</f>
        <v>0</v>
      </c>
      <c r="O113" s="342">
        <f>IFERROR($I113*VLOOKUP($H113,食材表!$A:F,6,FALSE),0)+IFERROR($I114*VLOOKUP($H114,食材表!$A:F,6,FALSE),0)+IFERROR($I115*VLOOKUP($H115,食材表!$A:F,6,FALSE),0)+IFERROR($K113*VLOOKUP($J113,食材表!$A:F,6,FALSE),0)+IFERROR($K114*VLOOKUP($J114,食材表!$A:F,6,FALSE),0)+IFERROR($K115*VLOOKUP($J115,食材表!$A:F,6,FALSE),0)</f>
        <v>0</v>
      </c>
      <c r="P113" s="342">
        <f>IFERROR($I113*VLOOKUP($H113,食材表!$A:G,7,FALSE),0)+IFERROR($I114*VLOOKUP($H114,食材表!$A:G,7,FALSE),0)+IFERROR($I115*VLOOKUP($H115,食材表!$A:G,7,FALSE),0)+IFERROR($K113*VLOOKUP($J113,食材表!$A:G,7,FALSE),0)+IFERROR($K114*VLOOKUP($J114,食材表!$A:G,7,FALSE),0)+IFERROR($K115*VLOOKUP($J115,食材表!$A:G,7,FALSE),0)</f>
        <v>0</v>
      </c>
      <c r="Q113" s="342">
        <f>IFERROR($I113*VLOOKUP($H113,食材表!$A:H,8,FALSE),0)+IFERROR($I114*VLOOKUP($H114,食材表!$A:H,8,FALSE),0)+IFERROR($I115*VLOOKUP($H115,食材表!$A:H,8,FALSE),0)+IFERROR($K113*VLOOKUP($J113,食材表!$A:H,8,FALSE),0)+IFERROR($K114*VLOOKUP($J114,食材表!$A:H,8,FALSE),0)+IFERROR($K115*VLOOKUP($J115,食材表!$A:H,8,FALSE),0)</f>
        <v>0</v>
      </c>
      <c r="R113" s="342">
        <f>IFERROR($I113*VLOOKUP($H113,食材表!$A:I,9,FALSE),0)+IFERROR($I114*VLOOKUP($H114,食材表!$A:I,9,FALSE),0)+IFERROR($I115*VLOOKUP($H115,食材表!$A:I,9,FALSE),0)+IFERROR($K113*VLOOKUP($J113,食材表!$A:I,9,FALSE),0)+IFERROR($K114*VLOOKUP($J114,食材表!$A:I,9,FALSE),0)+IFERROR($K115*VLOOKUP($J115,食材表!$A:I,9,FALSE),0)</f>
        <v>0</v>
      </c>
      <c r="S113" s="342">
        <f>SUM(L113*70+M113*75+N113*120+O113*25+P113*60+Q113*45+R113*4)</f>
        <v>105.03999999999999</v>
      </c>
    </row>
    <row r="114" spans="1:19">
      <c r="A114" s="33" t="str">
        <f>"2"&amp;+$B113</f>
        <v>2珍珠丸</v>
      </c>
      <c r="B114" s="350"/>
      <c r="C114" s="22"/>
      <c r="D114" s="36"/>
      <c r="E114" s="22"/>
      <c r="F114" s="36"/>
      <c r="G114" s="353"/>
      <c r="H114" s="93">
        <f t="shared" ref="H114:H115" si="76">C114</f>
        <v>0</v>
      </c>
      <c r="I114" s="86" t="str">
        <f>IFERROR(IF(LEN(D114)=LENB(D114),ROUND(LEFT(D114,2*LEN(D114)-LENB(D114))/$A$1,3),((ROUND(LEFT(D114,2*LEN(D114)-LENB(D114))/$A$1,3))*VLOOKUP(H114,食材表!$A:$B,2,FALSE))),"")</f>
        <v/>
      </c>
      <c r="J114" s="93">
        <f t="shared" ref="J114:J115" si="77">E114</f>
        <v>0</v>
      </c>
      <c r="K114" s="86" t="str">
        <f>IFERROR(IF(LEN(F114)=LENB(F114),ROUND(LEFT(F114,2*LEN(F114)-LENB(F114))/$A$1,3),((ROUND(LEFT(F114,2*LEN(F114)-LENB(F114))/$A$1,3))*VLOOKUP(J114,食材表!$A:$B,2,FALSE))),"")</f>
        <v/>
      </c>
      <c r="L114" s="343"/>
      <c r="M114" s="343"/>
      <c r="N114" s="343"/>
      <c r="O114" s="343"/>
      <c r="P114" s="343"/>
      <c r="Q114" s="343"/>
      <c r="R114" s="343"/>
      <c r="S114" s="343"/>
    </row>
    <row r="115" spans="1:19">
      <c r="A115" s="33" t="str">
        <f>"3"&amp;+$B113</f>
        <v>3珍珠丸</v>
      </c>
      <c r="B115" s="351"/>
      <c r="C115" s="26"/>
      <c r="D115" s="37"/>
      <c r="E115" s="26"/>
      <c r="F115" s="37"/>
      <c r="G115" s="354"/>
      <c r="H115" s="92">
        <f t="shared" si="76"/>
        <v>0</v>
      </c>
      <c r="I115" s="84" t="str">
        <f>IFERROR(IF(LEN(D115)=LENB(D115),ROUND(LEFT(D115,2*LEN(D115)-LENB(D115))/$A$1,3),((ROUND(LEFT(D115,2*LEN(D115)-LENB(D115))/$A$1,3))*VLOOKUP(H115,食材表!$A:$B,2,FALSE))),"")</f>
        <v/>
      </c>
      <c r="J115" s="92">
        <f t="shared" si="77"/>
        <v>0</v>
      </c>
      <c r="K115" s="85" t="str">
        <f>IFERROR(IF(LEN(F115)=LENB(F115),ROUND(LEFT(F115,2*LEN(F115)-LENB(F115))/$A$1,3),((ROUND(LEFT(F115,2*LEN(F115)-LENB(F115))/$A$1,3))*VLOOKUP(J115,食材表!$A:$B,2,FALSE))),"")</f>
        <v/>
      </c>
      <c r="L115" s="344"/>
      <c r="M115" s="344"/>
      <c r="N115" s="344"/>
      <c r="O115" s="344"/>
      <c r="P115" s="344"/>
      <c r="Q115" s="344"/>
      <c r="R115" s="344"/>
      <c r="S115" s="344"/>
    </row>
    <row r="116" spans="1:19">
      <c r="A116" s="33" t="str">
        <f>"1"&amp;+$B116</f>
        <v>1珍珠丸+豆漿</v>
      </c>
      <c r="B116" s="349" t="s">
        <v>1133</v>
      </c>
      <c r="C116" s="15" t="s">
        <v>1064</v>
      </c>
      <c r="D116" s="71" t="str">
        <f>($A$1+2)*2&amp;+"個"</f>
        <v>104個</v>
      </c>
      <c r="E116" s="89"/>
      <c r="F116" s="36"/>
      <c r="G116" s="352" t="str">
        <f>B116</f>
        <v>珍珠丸+豆漿</v>
      </c>
      <c r="H116" s="91" t="str">
        <f>C116</f>
        <v>珍珠丸</v>
      </c>
      <c r="I116" s="83">
        <f>IFERROR(IF(LEN(D116)=LENB(D116),ROUND(LEFT(D116,2*LEN(D116)-LENB(D116))/$A$1,3),((ROUND(LEFT(D116,2*LEN(D116)-LENB(D116))/$A$1,3))*VLOOKUP(H116,食材表!$A:$B,2,FALSE))),"")</f>
        <v>2.08</v>
      </c>
      <c r="J116" s="91">
        <f>E116</f>
        <v>0</v>
      </c>
      <c r="K116" s="83" t="str">
        <f>IFERROR(IF(LEN(F116)=LENB(F116),ROUND(LEFT(F116,2*LEN(F116)-LENB(F116))/$A$1,3),((ROUND(LEFT(F116,2*LEN(F116)-LENB(F116))/$A$1,3))*VLOOKUP(J116,食材表!$A:$B,2,FALSE))),"")</f>
        <v/>
      </c>
      <c r="L116" s="342">
        <f>IFERROR($I116*VLOOKUP($H116,食材表!$A:C,3,FALSE),0)+IFERROR($I117*VLOOKUP($H117,食材表!$A:C,3,FALSE),0)+IFERROR($I118*VLOOKUP($H118,食材表!$A:C,3,FALSE),0)+IFERROR($K116*VLOOKUP($J116,食材表!$A:C,3,FALSE),0)+IFERROR($K117*VLOOKUP($J117,食材表!$A:C,3,FALSE),0)+IFERROR($K118*VLOOKUP($J118,食材表!$A:C,3,FALSE),0)</f>
        <v>0.83200000000000007</v>
      </c>
      <c r="M116" s="342">
        <f>IFERROR($I116*VLOOKUP($H116,食材表!$A:D,4,FALSE),0)+IFERROR($I117*VLOOKUP($H117,食材表!$A:D,4,FALSE),0)+IFERROR($I118*VLOOKUP($H118,食材表!$A:D,4,FALSE),0)+IFERROR($K116*VLOOKUP($J116,食材表!$A:D,4,FALSE),0)+IFERROR($K117*VLOOKUP($J117,食材表!$A:D,4,FALSE),0)+IFERROR($K118*VLOOKUP($J118,食材表!$A:D,4,FALSE),0)</f>
        <v>1.3520000000000001</v>
      </c>
      <c r="N116" s="342">
        <f>IFERROR($I116*VLOOKUP($H116,食材表!$A:E,5,FALSE),0)+IFERROR($I117*VLOOKUP($H117,食材表!$A:E,5,FALSE),0)+IFERROR($I118*VLOOKUP($H118,食材表!$A:E,5,FALSE),0)+IFERROR($K116*VLOOKUP($J116,食材表!$A:E,5,FALSE),0)+IFERROR($K117*VLOOKUP($J117,食材表!$A:E,5,FALSE),0)+IFERROR($K118*VLOOKUP($J118,食材表!$A:E,5,FALSE),0)</f>
        <v>0</v>
      </c>
      <c r="O116" s="342">
        <f>IFERROR($I116*VLOOKUP($H116,食材表!$A:F,6,FALSE),0)+IFERROR($I117*VLOOKUP($H117,食材表!$A:F,6,FALSE),0)+IFERROR($I118*VLOOKUP($H118,食材表!$A:F,6,FALSE),0)+IFERROR($K116*VLOOKUP($J116,食材表!$A:F,6,FALSE),0)+IFERROR($K117*VLOOKUP($J117,食材表!$A:F,6,FALSE),0)+IFERROR($K118*VLOOKUP($J118,食材表!$A:F,6,FALSE),0)</f>
        <v>0</v>
      </c>
      <c r="P116" s="342">
        <f>IFERROR($I116*VLOOKUP($H116,食材表!$A:G,7,FALSE),0)+IFERROR($I117*VLOOKUP($H117,食材表!$A:G,7,FALSE),0)+IFERROR($I118*VLOOKUP($H118,食材表!$A:G,7,FALSE),0)+IFERROR($K116*VLOOKUP($J116,食材表!$A:G,7,FALSE),0)+IFERROR($K117*VLOOKUP($J117,食材表!$A:G,7,FALSE),0)+IFERROR($K118*VLOOKUP($J118,食材表!$A:G,7,FALSE),0)</f>
        <v>0</v>
      </c>
      <c r="Q116" s="342">
        <f>IFERROR($I116*VLOOKUP($H116,食材表!$A:H,8,FALSE),0)+IFERROR($I117*VLOOKUP($H117,食材表!$A:H,8,FALSE),0)+IFERROR($I118*VLOOKUP($H118,食材表!$A:H,8,FALSE),0)+IFERROR($K116*VLOOKUP($J116,食材表!$A:H,8,FALSE),0)+IFERROR($K117*VLOOKUP($J117,食材表!$A:H,8,FALSE),0)+IFERROR($K118*VLOOKUP($J118,食材表!$A:H,8,FALSE),0)</f>
        <v>0</v>
      </c>
      <c r="R116" s="342">
        <f>IFERROR($I116*VLOOKUP($H116,食材表!$A:I,9,FALSE),0)+IFERROR($I117*VLOOKUP($H117,食材表!$A:I,9,FALSE),0)+IFERROR($I118*VLOOKUP($H118,食材表!$A:I,9,FALSE),0)+IFERROR($K116*VLOOKUP($J116,食材表!$A:I,9,FALSE),0)+IFERROR($K117*VLOOKUP($J117,食材表!$A:I,9,FALSE),0)+IFERROR($K118*VLOOKUP($J118,食材表!$A:I,9,FALSE),0)</f>
        <v>0</v>
      </c>
      <c r="S116" s="342">
        <f>SUM(L116*70+M116*75+N116*120+O116*25+P116*60+Q116*45+R116*4)</f>
        <v>159.64000000000001</v>
      </c>
    </row>
    <row r="117" spans="1:19">
      <c r="A117" s="33" t="str">
        <f>"2"&amp;+$B116</f>
        <v>2珍珠丸+豆漿</v>
      </c>
      <c r="B117" s="350"/>
      <c r="C117" s="49" t="s">
        <v>69</v>
      </c>
      <c r="D117" s="33" t="s">
        <v>1212</v>
      </c>
      <c r="E117" s="38"/>
      <c r="F117" s="36"/>
      <c r="G117" s="353"/>
      <c r="H117" s="93" t="str">
        <f t="shared" ref="H117:H118" si="78">C117</f>
        <v>豆漿</v>
      </c>
      <c r="I117" s="84">
        <f>(2*IFERROR(MID(D117,FIND("2L*",D117)+3,1),0)+1*IFERROR(MID(D117,FIND("1L*",D117)+3,2),0))/$A$1</f>
        <v>0.14000000000000001</v>
      </c>
      <c r="J117" s="93">
        <f t="shared" ref="J117:J118" si="79">E117</f>
        <v>0</v>
      </c>
      <c r="K117" s="86" t="str">
        <f>IFERROR(IF(LEN(F117)=LENB(F117),ROUND(LEFT(F117,2*LEN(F117)-LENB(F117))/$A$1,3),((ROUND(LEFT(F117,2*LEN(F117)-LENB(F117))/$A$1,3))*VLOOKUP(J117,食材表!$A:$B,2,FALSE))),"")</f>
        <v/>
      </c>
      <c r="L117" s="343"/>
      <c r="M117" s="343"/>
      <c r="N117" s="343"/>
      <c r="O117" s="343"/>
      <c r="P117" s="343"/>
      <c r="Q117" s="343"/>
      <c r="R117" s="343"/>
      <c r="S117" s="343"/>
    </row>
    <row r="118" spans="1:19">
      <c r="A118" s="33" t="str">
        <f>"3"&amp;+$B116</f>
        <v>3珍珠丸+豆漿</v>
      </c>
      <c r="B118" s="351"/>
      <c r="C118" s="14"/>
      <c r="D118" s="37"/>
      <c r="E118" s="52"/>
      <c r="F118" s="37"/>
      <c r="G118" s="354"/>
      <c r="H118" s="92">
        <f t="shared" si="78"/>
        <v>0</v>
      </c>
      <c r="I118" s="84" t="str">
        <f>IFERROR(IF(LEN(D118)=LENB(D118),ROUND(LEFT(D118,2*LEN(D118)-LENB(D118))/$A$1,3),((ROUND(LEFT(D118,2*LEN(D118)-LENB(D118))/$A$1,3))*VLOOKUP(H118,食材表!$A:$B,2,FALSE))),"")</f>
        <v/>
      </c>
      <c r="J118" s="92">
        <f t="shared" si="79"/>
        <v>0</v>
      </c>
      <c r="K118" s="85" t="str">
        <f>IFERROR(IF(LEN(F118)=LENB(F118),ROUND(LEFT(F118,2*LEN(F118)-LENB(F118))/$A$1,3),((ROUND(LEFT(F118,2*LEN(F118)-LENB(F118))/$A$1,3))*VLOOKUP(J118,食材表!$A:$B,2,FALSE))),"")</f>
        <v/>
      </c>
      <c r="L118" s="344"/>
      <c r="M118" s="344"/>
      <c r="N118" s="344"/>
      <c r="O118" s="344"/>
      <c r="P118" s="344"/>
      <c r="Q118" s="344"/>
      <c r="R118" s="344"/>
      <c r="S118" s="344"/>
    </row>
    <row r="119" spans="1:19">
      <c r="A119" s="33" t="str">
        <f>"1"&amp;+$B119</f>
        <v>1奶皇包+洛神花茶</v>
      </c>
      <c r="B119" s="380" t="s">
        <v>1127</v>
      </c>
      <c r="C119" s="57" t="s">
        <v>987</v>
      </c>
      <c r="D119" s="71" t="str">
        <f>$A$1+2&amp;+"個"</f>
        <v>52個</v>
      </c>
      <c r="E119" s="55"/>
      <c r="F119" s="33"/>
      <c r="G119" s="352" t="str">
        <f>B119</f>
        <v>奶皇包+洛神花茶</v>
      </c>
      <c r="H119" s="91" t="str">
        <f>C119</f>
        <v>奶皇包</v>
      </c>
      <c r="I119" s="83">
        <f>IFERROR(IF(LEN(D119)=LENB(D119),ROUND(LEFT(D119,2*LEN(D119)-LENB(D119))/$A$1,3),((ROUND(LEFT(D119,2*LEN(D119)-LENB(D119))/$A$1,3))*VLOOKUP(H119,食材表!$A:$B,2,FALSE))),"")</f>
        <v>1.04</v>
      </c>
      <c r="J119" s="91">
        <f>E119</f>
        <v>0</v>
      </c>
      <c r="K119" s="83" t="str">
        <f>IFERROR(IF(LEN(F119)=LENB(F119),ROUND(LEFT(F119,2*LEN(F119)-LENB(F119))/$A$1,3),((ROUND(LEFT(F119,2*LEN(F119)-LENB(F119))/$A$1,3))*VLOOKUP(J119,食材表!$A:$B,2,FALSE))),"")</f>
        <v/>
      </c>
      <c r="L119" s="342">
        <f>IFERROR($I119*VLOOKUP($H119,食材表!$A:C,3,FALSE),0)+IFERROR($I120*VLOOKUP($H120,食材表!$A:C,3,FALSE),0)+IFERROR($I121*VLOOKUP($H121,食材表!$A:C,3,FALSE),0)+IFERROR($K119*VLOOKUP($J119,食材表!$A:C,3,FALSE),0)+IFERROR($K120*VLOOKUP($J120,食材表!$A:C,3,FALSE),0)+IFERROR($K121*VLOOKUP($J121,食材表!$A:C,3,FALSE),0)</f>
        <v>2.08</v>
      </c>
      <c r="M119" s="342">
        <f>IFERROR($I119*VLOOKUP($H119,食材表!$A:D,4,FALSE),0)+IFERROR($I120*VLOOKUP($H120,食材表!$A:D,4,FALSE),0)+IFERROR($I121*VLOOKUP($H121,食材表!$A:D,4,FALSE),0)+IFERROR($K119*VLOOKUP($J119,食材表!$A:D,4,FALSE),0)+IFERROR($K120*VLOOKUP($J120,食材表!$A:D,4,FALSE),0)+IFERROR($K121*VLOOKUP($J121,食材表!$A:D,4,FALSE),0)</f>
        <v>0</v>
      </c>
      <c r="N119" s="342">
        <f>IFERROR($I119*VLOOKUP($H119,食材表!$A:E,5,FALSE),0)+IFERROR($I120*VLOOKUP($H120,食材表!$A:E,5,FALSE),0)+IFERROR($I121*VLOOKUP($H121,食材表!$A:E,5,FALSE),0)+IFERROR($K119*VLOOKUP($J119,食材表!$A:E,5,FALSE),0)+IFERROR($K120*VLOOKUP($J120,食材表!$A:E,5,FALSE),0)+IFERROR($K121*VLOOKUP($J121,食材表!$A:E,5,FALSE),0)</f>
        <v>0</v>
      </c>
      <c r="O119" s="342">
        <f>IFERROR($I119*VLOOKUP($H119,食材表!$A:F,6,FALSE),0)+IFERROR($I120*VLOOKUP($H120,食材表!$A:F,6,FALSE),0)+IFERROR($I121*VLOOKUP($H121,食材表!$A:F,6,FALSE),0)+IFERROR($K119*VLOOKUP($J119,食材表!$A:F,6,FALSE),0)+IFERROR($K120*VLOOKUP($J120,食材表!$A:F,6,FALSE),0)+IFERROR($K121*VLOOKUP($J121,食材表!$A:F,6,FALSE),0)</f>
        <v>0</v>
      </c>
      <c r="P119" s="342">
        <f>IFERROR($I119*VLOOKUP($H119,食材表!$A:G,7,FALSE),0)+IFERROR($I120*VLOOKUP($H120,食材表!$A:G,7,FALSE),0)+IFERROR($I121*VLOOKUP($H121,食材表!$A:G,7,FALSE),0)+IFERROR($K119*VLOOKUP($J119,食材表!$A:G,7,FALSE),0)+IFERROR($K120*VLOOKUP($J120,食材表!$A:G,7,FALSE),0)+IFERROR($K121*VLOOKUP($J121,食材表!$A:G,7,FALSE),0)</f>
        <v>0</v>
      </c>
      <c r="Q119" s="342">
        <f>IFERROR($I119*VLOOKUP($H119,食材表!$A:H,8,FALSE),0)+IFERROR($I120*VLOOKUP($H120,食材表!$A:H,8,FALSE),0)+IFERROR($I121*VLOOKUP($H121,食材表!$A:H,8,FALSE),0)+IFERROR($K119*VLOOKUP($J119,食材表!$A:H,8,FALSE),0)+IFERROR($K120*VLOOKUP($J120,食材表!$A:H,8,FALSE),0)+IFERROR($K121*VLOOKUP($J121,食材表!$A:H,8,FALSE),0)</f>
        <v>1.04</v>
      </c>
      <c r="R119" s="342">
        <f>IFERROR($I119*VLOOKUP($H119,食材表!$A:I,9,FALSE),0)+IFERROR($I120*VLOOKUP($H120,食材表!$A:I,9,FALSE),0)+IFERROR($I121*VLOOKUP($H121,食材表!$A:I,9,FALSE),0)+IFERROR($K119*VLOOKUP($J119,食材表!$A:I,9,FALSE),0)+IFERROR($K120*VLOOKUP($J120,食材表!$A:I,9,FALSE),0)+IFERROR($K121*VLOOKUP($J121,食材表!$A:I,9,FALSE),0)</f>
        <v>0</v>
      </c>
      <c r="S119" s="342">
        <f>SUM(L119*70+M119*75+N119*120+O119*25+P119*60+Q119*45+R119*4)</f>
        <v>192.4</v>
      </c>
    </row>
    <row r="120" spans="1:19">
      <c r="A120" s="33" t="str">
        <f>"2"&amp;+$B119</f>
        <v>2奶皇包+洛神花茶</v>
      </c>
      <c r="B120" s="381"/>
      <c r="C120" s="31" t="s">
        <v>1040</v>
      </c>
      <c r="D120" s="33" t="s">
        <v>203</v>
      </c>
      <c r="E120" s="31"/>
      <c r="F120" s="33"/>
      <c r="G120" s="353"/>
      <c r="H120" s="93" t="str">
        <f t="shared" ref="H120:H121" si="80">C120</f>
        <v>洛神花茶包</v>
      </c>
      <c r="I120" s="86" t="str">
        <f>IFERROR(IF(LEN(D120)=LENB(D120),ROUND(LEFT(D120,2*LEN(D120)-LENB(D120))/$A$1,3),((ROUND(LEFT(D120,2*LEN(D120)-LENB(D120))/$A$1,3))*VLOOKUP(H120,食材表!$A:$B,2,FALSE))),"")</f>
        <v/>
      </c>
      <c r="J120" s="93">
        <f t="shared" ref="J120:J121" si="81">E120</f>
        <v>0</v>
      </c>
      <c r="K120" s="86" t="str">
        <f>IFERROR(IF(LEN(F120)=LENB(F120),ROUND(LEFT(F120,2*LEN(F120)-LENB(F120))/$A$1,3),((ROUND(LEFT(F120,2*LEN(F120)-LENB(F120))/$A$1,3))*VLOOKUP(J120,食材表!$A:$B,2,FALSE))),"")</f>
        <v/>
      </c>
      <c r="L120" s="343"/>
      <c r="M120" s="343"/>
      <c r="N120" s="343"/>
      <c r="O120" s="343"/>
      <c r="P120" s="343"/>
      <c r="Q120" s="343"/>
      <c r="R120" s="343"/>
      <c r="S120" s="343"/>
    </row>
    <row r="121" spans="1:19">
      <c r="A121" s="33" t="str">
        <f>"3"&amp;+$B119</f>
        <v>3奶皇包+洛神花茶</v>
      </c>
      <c r="B121" s="382"/>
      <c r="C121" s="28"/>
      <c r="D121" s="8"/>
      <c r="E121" s="28"/>
      <c r="F121" s="8"/>
      <c r="G121" s="354"/>
      <c r="H121" s="92">
        <f t="shared" si="80"/>
        <v>0</v>
      </c>
      <c r="I121" s="84" t="str">
        <f>IFERROR(IF(LEN(D121)=LENB(D121),ROUND(LEFT(D121,2*LEN(D121)-LENB(D121))/$A$1,3),((ROUND(LEFT(D121,2*LEN(D121)-LENB(D121))/$A$1,3))*VLOOKUP(H121,食材表!$A:$B,2,FALSE))),"")</f>
        <v/>
      </c>
      <c r="J121" s="92">
        <f t="shared" si="81"/>
        <v>0</v>
      </c>
      <c r="K121" s="85" t="str">
        <f>IFERROR(IF(LEN(F121)=LENB(F121),ROUND(LEFT(F121,2*LEN(F121)-LENB(F121))/$A$1,3),((ROUND(LEFT(F121,2*LEN(F121)-LENB(F121))/$A$1,3))*VLOOKUP(J121,食材表!$A:$B,2,FALSE))),"")</f>
        <v/>
      </c>
      <c r="L121" s="344"/>
      <c r="M121" s="344"/>
      <c r="N121" s="344"/>
      <c r="O121" s="344"/>
      <c r="P121" s="344"/>
      <c r="Q121" s="344"/>
      <c r="R121" s="344"/>
      <c r="S121" s="344"/>
    </row>
    <row r="122" spans="1:19">
      <c r="A122" s="33" t="str">
        <f>"1"&amp;+$B122</f>
        <v>1奶皇包</v>
      </c>
      <c r="B122" s="380" t="s">
        <v>987</v>
      </c>
      <c r="C122" s="57" t="s">
        <v>987</v>
      </c>
      <c r="D122" s="71" t="str">
        <f>$A$1+2&amp;+"個"</f>
        <v>52個</v>
      </c>
      <c r="E122" s="55"/>
      <c r="F122" s="33"/>
      <c r="G122" s="352" t="str">
        <f>B122</f>
        <v>奶皇包</v>
      </c>
      <c r="H122" s="91" t="str">
        <f>C122</f>
        <v>奶皇包</v>
      </c>
      <c r="I122" s="83">
        <f>IFERROR(IF(LEN(D122)=LENB(D122),ROUND(LEFT(D122,2*LEN(D122)-LENB(D122))/$A$1,3),((ROUND(LEFT(D122,2*LEN(D122)-LENB(D122))/$A$1,3))*VLOOKUP(H122,食材表!$A:$B,2,FALSE))),"")</f>
        <v>1.04</v>
      </c>
      <c r="J122" s="91">
        <f>E122</f>
        <v>0</v>
      </c>
      <c r="K122" s="83" t="str">
        <f>IFERROR(IF(LEN(F122)=LENB(F122),ROUND(LEFT(F122,2*LEN(F122)-LENB(F122))/$A$1,3),((ROUND(LEFT(F122,2*LEN(F122)-LENB(F122))/$A$1,3))*VLOOKUP(J122,食材表!$A:$B,2,FALSE))),"")</f>
        <v/>
      </c>
      <c r="L122" s="342">
        <f>IFERROR($I122*VLOOKUP($H122,食材表!$A:C,3,FALSE),0)+IFERROR($I123*VLOOKUP($H123,食材表!$A:C,3,FALSE),0)+IFERROR($I124*VLOOKUP($H124,食材表!$A:C,3,FALSE),0)+IFERROR($K122*VLOOKUP($J122,食材表!$A:C,3,FALSE),0)+IFERROR($K123*VLOOKUP($J123,食材表!$A:C,3,FALSE),0)+IFERROR($K124*VLOOKUP($J124,食材表!$A:C,3,FALSE),0)</f>
        <v>2.08</v>
      </c>
      <c r="M122" s="342">
        <f>IFERROR($I122*VLOOKUP($H122,食材表!$A:D,4,FALSE),0)+IFERROR($I123*VLOOKUP($H123,食材表!$A:D,4,FALSE),0)+IFERROR($I124*VLOOKUP($H124,食材表!$A:D,4,FALSE),0)+IFERROR($K122*VLOOKUP($J122,食材表!$A:D,4,FALSE),0)+IFERROR($K123*VLOOKUP($J123,食材表!$A:D,4,FALSE),0)+IFERROR($K124*VLOOKUP($J124,食材表!$A:D,4,FALSE),0)</f>
        <v>0</v>
      </c>
      <c r="N122" s="342">
        <f>IFERROR($I122*VLOOKUP($H122,食材表!$A:E,5,FALSE),0)+IFERROR($I123*VLOOKUP($H123,食材表!$A:E,5,FALSE),0)+IFERROR($I124*VLOOKUP($H124,食材表!$A:E,5,FALSE),0)+IFERROR($K122*VLOOKUP($J122,食材表!$A:E,5,FALSE),0)+IFERROR($K123*VLOOKUP($J123,食材表!$A:E,5,FALSE),0)+IFERROR($K124*VLOOKUP($J124,食材表!$A:E,5,FALSE),0)</f>
        <v>0</v>
      </c>
      <c r="O122" s="342">
        <f>IFERROR($I122*VLOOKUP($H122,食材表!$A:F,6,FALSE),0)+IFERROR($I123*VLOOKUP($H123,食材表!$A:F,6,FALSE),0)+IFERROR($I124*VLOOKUP($H124,食材表!$A:F,6,FALSE),0)+IFERROR($K122*VLOOKUP($J122,食材表!$A:F,6,FALSE),0)+IFERROR($K123*VLOOKUP($J123,食材表!$A:F,6,FALSE),0)+IFERROR($K124*VLOOKUP($J124,食材表!$A:F,6,FALSE),0)</f>
        <v>0</v>
      </c>
      <c r="P122" s="342">
        <f>IFERROR($I122*VLOOKUP($H122,食材表!$A:G,7,FALSE),0)+IFERROR($I123*VLOOKUP($H123,食材表!$A:G,7,FALSE),0)+IFERROR($I124*VLOOKUP($H124,食材表!$A:G,7,FALSE),0)+IFERROR($K122*VLOOKUP($J122,食材表!$A:G,7,FALSE),0)+IFERROR($K123*VLOOKUP($J123,食材表!$A:G,7,FALSE),0)+IFERROR($K124*VLOOKUP($J124,食材表!$A:G,7,FALSE),0)</f>
        <v>0</v>
      </c>
      <c r="Q122" s="342">
        <f>IFERROR($I122*VLOOKUP($H122,食材表!$A:H,8,FALSE),0)+IFERROR($I123*VLOOKUP($H123,食材表!$A:H,8,FALSE),0)+IFERROR($I124*VLOOKUP($H124,食材表!$A:H,8,FALSE),0)+IFERROR($K122*VLOOKUP($J122,食材表!$A:H,8,FALSE),0)+IFERROR($K123*VLOOKUP($J123,食材表!$A:H,8,FALSE),0)+IFERROR($K124*VLOOKUP($J124,食材表!$A:H,8,FALSE),0)</f>
        <v>1.04</v>
      </c>
      <c r="R122" s="342">
        <f>IFERROR($I122*VLOOKUP($H122,食材表!$A:I,9,FALSE),0)+IFERROR($I123*VLOOKUP($H123,食材表!$A:I,9,FALSE),0)+IFERROR($I124*VLOOKUP($H124,食材表!$A:I,9,FALSE),0)+IFERROR($K122*VLOOKUP($J122,食材表!$A:I,9,FALSE),0)+IFERROR($K123*VLOOKUP($J123,食材表!$A:I,9,FALSE),0)+IFERROR($K124*VLOOKUP($J124,食材表!$A:I,9,FALSE),0)</f>
        <v>0</v>
      </c>
      <c r="S122" s="342">
        <f>SUM(L122*70+M122*75+N122*120+O122*25+P122*60+Q122*45+R122*4)</f>
        <v>192.4</v>
      </c>
    </row>
    <row r="123" spans="1:19">
      <c r="A123" s="33" t="str">
        <f>"2"&amp;+$B122</f>
        <v>2奶皇包</v>
      </c>
      <c r="B123" s="381"/>
      <c r="C123" s="31"/>
      <c r="D123" s="33"/>
      <c r="E123" s="31"/>
      <c r="F123" s="33"/>
      <c r="G123" s="353"/>
      <c r="H123" s="93">
        <f t="shared" ref="H123:H124" si="82">C123</f>
        <v>0</v>
      </c>
      <c r="I123" s="86" t="str">
        <f>IFERROR(IF(LEN(D123)=LENB(D123),ROUND(LEFT(D123,2*LEN(D123)-LENB(D123))/$A$1,3),((ROUND(LEFT(D123,2*LEN(D123)-LENB(D123))/$A$1,3))*VLOOKUP(H123,食材表!$A:$B,2,FALSE))),"")</f>
        <v/>
      </c>
      <c r="J123" s="93">
        <f t="shared" ref="J123:J124" si="83">E123</f>
        <v>0</v>
      </c>
      <c r="K123" s="86" t="str">
        <f>IFERROR(IF(LEN(F123)=LENB(F123),ROUND(LEFT(F123,2*LEN(F123)-LENB(F123))/$A$1,3),((ROUND(LEFT(F123,2*LEN(F123)-LENB(F123))/$A$1,3))*VLOOKUP(J123,食材表!$A:$B,2,FALSE))),"")</f>
        <v/>
      </c>
      <c r="L123" s="343"/>
      <c r="M123" s="343"/>
      <c r="N123" s="343"/>
      <c r="O123" s="343"/>
      <c r="P123" s="343"/>
      <c r="Q123" s="343"/>
      <c r="R123" s="343"/>
      <c r="S123" s="343"/>
    </row>
    <row r="124" spans="1:19">
      <c r="A124" s="33" t="str">
        <f>"3"&amp;+$B122</f>
        <v>3奶皇包</v>
      </c>
      <c r="B124" s="382"/>
      <c r="C124" s="28"/>
      <c r="D124" s="8"/>
      <c r="E124" s="28"/>
      <c r="F124" s="8"/>
      <c r="G124" s="354"/>
      <c r="H124" s="92">
        <f t="shared" si="82"/>
        <v>0</v>
      </c>
      <c r="I124" s="84" t="str">
        <f>IFERROR(IF(LEN(D124)=LENB(D124),ROUND(LEFT(D124,2*LEN(D124)-LENB(D124))/$A$1,3),((ROUND(LEFT(D124,2*LEN(D124)-LENB(D124))/$A$1,3))*VLOOKUP(H124,食材表!$A:$B,2,FALSE))),"")</f>
        <v/>
      </c>
      <c r="J124" s="92">
        <f t="shared" si="83"/>
        <v>0</v>
      </c>
      <c r="K124" s="85" t="str">
        <f>IFERROR(IF(LEN(F124)=LENB(F124),ROUND(LEFT(F124,2*LEN(F124)-LENB(F124))/$A$1,3),((ROUND(LEFT(F124,2*LEN(F124)-LENB(F124))/$A$1,3))*VLOOKUP(J124,食材表!$A:$B,2,FALSE))),"")</f>
        <v/>
      </c>
      <c r="L124" s="344"/>
      <c r="M124" s="344"/>
      <c r="N124" s="344"/>
      <c r="O124" s="344"/>
      <c r="P124" s="344"/>
      <c r="Q124" s="344"/>
      <c r="R124" s="344"/>
      <c r="S124" s="344"/>
    </row>
    <row r="125" spans="1:19">
      <c r="A125" s="33" t="str">
        <f>"1"&amp;+$B125</f>
        <v>1芝麻包</v>
      </c>
      <c r="B125" s="349" t="s">
        <v>180</v>
      </c>
      <c r="C125" s="60" t="s">
        <v>180</v>
      </c>
      <c r="D125" s="71" t="str">
        <f>$A$1+2&amp;+"個"</f>
        <v>52個</v>
      </c>
      <c r="E125" s="60"/>
      <c r="F125" s="36"/>
      <c r="G125" s="352" t="str">
        <f>B125</f>
        <v>芝麻包</v>
      </c>
      <c r="H125" s="91" t="str">
        <f>C125</f>
        <v>芝麻包</v>
      </c>
      <c r="I125" s="83">
        <f>IFERROR(IF(LEN(D125)=LENB(D125),ROUND(LEFT(D125,2*LEN(D125)-LENB(D125))/$A$1,3),((ROUND(LEFT(D125,2*LEN(D125)-LENB(D125))/$A$1,3))*VLOOKUP(H125,食材表!$A:$B,2,FALSE))),"")</f>
        <v>1.04</v>
      </c>
      <c r="J125" s="91">
        <f>E125</f>
        <v>0</v>
      </c>
      <c r="K125" s="83" t="str">
        <f>IFERROR(IF(LEN(F125)=LENB(F125),ROUND(LEFT(F125,2*LEN(F125)-LENB(F125))/$A$1,3),((ROUND(LEFT(F125,2*LEN(F125)-LENB(F125))/$A$1,3))*VLOOKUP(J125,食材表!$A:$B,2,FALSE))),"")</f>
        <v/>
      </c>
      <c r="L125" s="342">
        <f>IFERROR($I125*VLOOKUP($H125,食材表!$A:C,3,FALSE),0)+IFERROR($I126*VLOOKUP($H126,食材表!$A:C,3,FALSE),0)+IFERROR($I127*VLOOKUP($H127,食材表!$A:C,3,FALSE),0)+IFERROR($K125*VLOOKUP($J125,食材表!$A:C,3,FALSE),0)+IFERROR($K126*VLOOKUP($J126,食材表!$A:C,3,FALSE),0)+IFERROR($K127*VLOOKUP($J127,食材表!$A:C,3,FALSE),0)</f>
        <v>2.3919999999999999</v>
      </c>
      <c r="M125" s="342">
        <f>IFERROR($I125*VLOOKUP($H125,食材表!$A:D,4,FALSE),0)+IFERROR($I126*VLOOKUP($H126,食材表!$A:D,4,FALSE),0)+IFERROR($I127*VLOOKUP($H127,食材表!$A:D,4,FALSE),0)+IFERROR($K125*VLOOKUP($J125,食材表!$A:D,4,FALSE),0)+IFERROR($K126*VLOOKUP($J126,食材表!$A:D,4,FALSE),0)+IFERROR($K127*VLOOKUP($J127,食材表!$A:D,4,FALSE),0)</f>
        <v>0</v>
      </c>
      <c r="N125" s="342">
        <f>IFERROR($I125*VLOOKUP($H125,食材表!$A:E,5,FALSE),0)+IFERROR($I126*VLOOKUP($H126,食材表!$A:E,5,FALSE),0)+IFERROR($I127*VLOOKUP($H127,食材表!$A:E,5,FALSE),0)+IFERROR($K125*VLOOKUP($J125,食材表!$A:E,5,FALSE),0)+IFERROR($K126*VLOOKUP($J126,食材表!$A:E,5,FALSE),0)+IFERROR($K127*VLOOKUP($J127,食材表!$A:E,5,FALSE),0)</f>
        <v>0</v>
      </c>
      <c r="O125" s="342">
        <f>IFERROR($I125*VLOOKUP($H125,食材表!$A:F,6,FALSE),0)+IFERROR($I126*VLOOKUP($H126,食材表!$A:F,6,FALSE),0)+IFERROR($I127*VLOOKUP($H127,食材表!$A:F,6,FALSE),0)+IFERROR($K125*VLOOKUP($J125,食材表!$A:F,6,FALSE),0)+IFERROR($K126*VLOOKUP($J126,食材表!$A:F,6,FALSE),0)+IFERROR($K127*VLOOKUP($J127,食材表!$A:F,6,FALSE),0)</f>
        <v>0</v>
      </c>
      <c r="P125" s="342">
        <f>IFERROR($I125*VLOOKUP($H125,食材表!$A:G,7,FALSE),0)+IFERROR($I126*VLOOKUP($H126,食材表!$A:G,7,FALSE),0)+IFERROR($I127*VLOOKUP($H127,食材表!$A:G,7,FALSE),0)+IFERROR($K125*VLOOKUP($J125,食材表!$A:G,7,FALSE),0)+IFERROR($K126*VLOOKUP($J126,食材表!$A:G,7,FALSE),0)+IFERROR($K127*VLOOKUP($J127,食材表!$A:G,7,FALSE),0)</f>
        <v>0</v>
      </c>
      <c r="Q125" s="342">
        <f>IFERROR($I125*VLOOKUP($H125,食材表!$A:H,8,FALSE),0)+IFERROR($I126*VLOOKUP($H126,食材表!$A:H,8,FALSE),0)+IFERROR($I127*VLOOKUP($H127,食材表!$A:H,8,FALSE),0)+IFERROR($K125*VLOOKUP($J125,食材表!$A:H,8,FALSE),0)+IFERROR($K126*VLOOKUP($J126,食材表!$A:H,8,FALSE),0)+IFERROR($K127*VLOOKUP($J127,食材表!$A:H,8,FALSE),0)</f>
        <v>1.04</v>
      </c>
      <c r="R125" s="342">
        <f>IFERROR($I125*VLOOKUP($H125,食材表!$A:I,9,FALSE),0)+IFERROR($I126*VLOOKUP($H126,食材表!$A:I,9,FALSE),0)+IFERROR($I127*VLOOKUP($H127,食材表!$A:I,9,FALSE),0)+IFERROR($K125*VLOOKUP($J125,食材表!$A:I,9,FALSE),0)+IFERROR($K126*VLOOKUP($J126,食材表!$A:I,9,FALSE),0)+IFERROR($K127*VLOOKUP($J127,食材表!$A:I,9,FALSE),0)</f>
        <v>0</v>
      </c>
      <c r="S125" s="342">
        <f>SUM(L125*70+M125*75+N125*120+O125*25+P125*60+Q125*45+R125*4)</f>
        <v>214.24</v>
      </c>
    </row>
    <row r="126" spans="1:19">
      <c r="A126" s="33" t="str">
        <f>"2"&amp;+$B125</f>
        <v>2芝麻包</v>
      </c>
      <c r="B126" s="350"/>
      <c r="C126" s="22" t="s">
        <v>1010</v>
      </c>
      <c r="D126" s="79"/>
      <c r="E126" s="22"/>
      <c r="F126" s="36"/>
      <c r="G126" s="353"/>
      <c r="H126" s="93" t="str">
        <f t="shared" ref="H126:H127" si="84">C126</f>
        <v xml:space="preserve"> </v>
      </c>
      <c r="I126" s="86" t="str">
        <f>IFERROR(IF(LEN(D126)=LENB(D126),ROUND(LEFT(D126,2*LEN(D126)-LENB(D126))/$A$1,3),((ROUND(LEFT(D126,2*LEN(D126)-LENB(D126))/$A$1,3))*VLOOKUP(H126,食材表!$A:$B,2,FALSE))),"")</f>
        <v/>
      </c>
      <c r="J126" s="93">
        <f t="shared" ref="J126:J127" si="85">E126</f>
        <v>0</v>
      </c>
      <c r="K126" s="86" t="str">
        <f>IFERROR(IF(LEN(F126)=LENB(F126),ROUND(LEFT(F126,2*LEN(F126)-LENB(F126))/$A$1,3),((ROUND(LEFT(F126,2*LEN(F126)-LENB(F126))/$A$1,3))*VLOOKUP(J126,食材表!$A:$B,2,FALSE))),"")</f>
        <v/>
      </c>
      <c r="L126" s="343"/>
      <c r="M126" s="343"/>
      <c r="N126" s="343"/>
      <c r="O126" s="343"/>
      <c r="P126" s="343"/>
      <c r="Q126" s="343"/>
      <c r="R126" s="343"/>
      <c r="S126" s="343"/>
    </row>
    <row r="127" spans="1:19">
      <c r="A127" s="33" t="str">
        <f>"3"&amp;+$B125</f>
        <v>3芝麻包</v>
      </c>
      <c r="B127" s="351"/>
      <c r="C127" s="26"/>
      <c r="D127" s="37"/>
      <c r="E127" s="26"/>
      <c r="F127" s="37"/>
      <c r="G127" s="354"/>
      <c r="H127" s="92">
        <f t="shared" si="84"/>
        <v>0</v>
      </c>
      <c r="I127" s="84" t="str">
        <f>IFERROR(IF(LEN(D127)=LENB(D127),ROUND(LEFT(D127,2*LEN(D127)-LENB(D127))/$A$1,3),((ROUND(LEFT(D127,2*LEN(D127)-LENB(D127))/$A$1,3))*VLOOKUP(H127,食材表!$A:$B,2,FALSE))),"")</f>
        <v/>
      </c>
      <c r="J127" s="92">
        <f t="shared" si="85"/>
        <v>0</v>
      </c>
      <c r="K127" s="85" t="str">
        <f>IFERROR(IF(LEN(F127)=LENB(F127),ROUND(LEFT(F127,2*LEN(F127)-LENB(F127))/$A$1,3),((ROUND(LEFT(F127,2*LEN(F127)-LENB(F127))/$A$1,3))*VLOOKUP(J127,食材表!$A:$B,2,FALSE))),"")</f>
        <v/>
      </c>
      <c r="L127" s="344"/>
      <c r="M127" s="344"/>
      <c r="N127" s="344"/>
      <c r="O127" s="344"/>
      <c r="P127" s="344"/>
      <c r="Q127" s="344"/>
      <c r="R127" s="344"/>
      <c r="S127" s="344"/>
    </row>
    <row r="128" spans="1:19">
      <c r="A128" s="33" t="str">
        <f>"1"&amp;+$B128</f>
        <v>1芝麻包+羅漢果茶</v>
      </c>
      <c r="B128" s="349" t="s">
        <v>1130</v>
      </c>
      <c r="C128" s="60" t="s">
        <v>180</v>
      </c>
      <c r="D128" s="71" t="str">
        <f>$A$1+2&amp;+"個"</f>
        <v>52個</v>
      </c>
      <c r="E128" s="60"/>
      <c r="F128" s="36"/>
      <c r="G128" s="352" t="str">
        <f>B128</f>
        <v>芝麻包+羅漢果茶</v>
      </c>
      <c r="H128" s="91" t="str">
        <f>C128</f>
        <v>芝麻包</v>
      </c>
      <c r="I128" s="83">
        <f>IFERROR(IF(LEN(D128)=LENB(D128),ROUND(LEFT(D128,2*LEN(D128)-LENB(D128))/$A$1,3),((ROUND(LEFT(D128,2*LEN(D128)-LENB(D128))/$A$1,3))*VLOOKUP(H128,食材表!$A:$B,2,FALSE))),"")</f>
        <v>1.04</v>
      </c>
      <c r="J128" s="91">
        <f>E128</f>
        <v>0</v>
      </c>
      <c r="K128" s="83" t="str">
        <f>IFERROR(IF(LEN(F128)=LENB(F128),ROUND(LEFT(F128,2*LEN(F128)-LENB(F128))/$A$1,3),((ROUND(LEFT(F128,2*LEN(F128)-LENB(F128))/$A$1,3))*VLOOKUP(J128,食材表!$A:$B,2,FALSE))),"")</f>
        <v/>
      </c>
      <c r="L128" s="342">
        <f>IFERROR($I128*VLOOKUP($H128,食材表!$A:C,3,FALSE),0)+IFERROR($I129*VLOOKUP($H129,食材表!$A:C,3,FALSE),0)+IFERROR($I130*VLOOKUP($H130,食材表!$A:C,3,FALSE),0)+IFERROR($K128*VLOOKUP($J128,食材表!$A:C,3,FALSE),0)+IFERROR($K129*VLOOKUP($J129,食材表!$A:C,3,FALSE),0)+IFERROR($K130*VLOOKUP($J130,食材表!$A:C,3,FALSE),0)</f>
        <v>2.3919999999999999</v>
      </c>
      <c r="M128" s="342">
        <f>IFERROR($I128*VLOOKUP($H128,食材表!$A:D,4,FALSE),0)+IFERROR($I129*VLOOKUP($H129,食材表!$A:D,4,FALSE),0)+IFERROR($I130*VLOOKUP($H130,食材表!$A:D,4,FALSE),0)+IFERROR($K128*VLOOKUP($J128,食材表!$A:D,4,FALSE),0)+IFERROR($K129*VLOOKUP($J129,食材表!$A:D,4,FALSE),0)+IFERROR($K130*VLOOKUP($J130,食材表!$A:D,4,FALSE),0)</f>
        <v>0</v>
      </c>
      <c r="N128" s="342">
        <f>IFERROR($I128*VLOOKUP($H128,食材表!$A:E,5,FALSE),0)+IFERROR($I129*VLOOKUP($H129,食材表!$A:E,5,FALSE),0)+IFERROR($I130*VLOOKUP($H130,食材表!$A:E,5,FALSE),0)+IFERROR($K128*VLOOKUP($J128,食材表!$A:E,5,FALSE),0)+IFERROR($K129*VLOOKUP($J129,食材表!$A:E,5,FALSE),0)+IFERROR($K130*VLOOKUP($J130,食材表!$A:E,5,FALSE),0)</f>
        <v>0</v>
      </c>
      <c r="O128" s="342">
        <f>IFERROR($I128*VLOOKUP($H128,食材表!$A:F,6,FALSE),0)+IFERROR($I129*VLOOKUP($H129,食材表!$A:F,6,FALSE),0)+IFERROR($I130*VLOOKUP($H130,食材表!$A:F,6,FALSE),0)+IFERROR($K128*VLOOKUP($J128,食材表!$A:F,6,FALSE),0)+IFERROR($K129*VLOOKUP($J129,食材表!$A:F,6,FALSE),0)+IFERROR($K130*VLOOKUP($J130,食材表!$A:F,6,FALSE),0)</f>
        <v>0</v>
      </c>
      <c r="P128" s="342">
        <f>IFERROR($I128*VLOOKUP($H128,食材表!$A:G,7,FALSE),0)+IFERROR($I129*VLOOKUP($H129,食材表!$A:G,7,FALSE),0)+IFERROR($I130*VLOOKUP($H130,食材表!$A:G,7,FALSE),0)+IFERROR($K128*VLOOKUP($J128,食材表!$A:G,7,FALSE),0)+IFERROR($K129*VLOOKUP($J129,食材表!$A:G,7,FALSE),0)+IFERROR($K130*VLOOKUP($J130,食材表!$A:G,7,FALSE),0)</f>
        <v>0</v>
      </c>
      <c r="Q128" s="342">
        <f>IFERROR($I128*VLOOKUP($H128,食材表!$A:H,8,FALSE),0)+IFERROR($I129*VLOOKUP($H129,食材表!$A:H,8,FALSE),0)+IFERROR($I130*VLOOKUP($H130,食材表!$A:H,8,FALSE),0)+IFERROR($K128*VLOOKUP($J128,食材表!$A:H,8,FALSE),0)+IFERROR($K129*VLOOKUP($J129,食材表!$A:H,8,FALSE),0)+IFERROR($K130*VLOOKUP($J130,食材表!$A:H,8,FALSE),0)</f>
        <v>1.04</v>
      </c>
      <c r="R128" s="342">
        <f>IFERROR($I128*VLOOKUP($H128,食材表!$A:I,9,FALSE),0)+IFERROR($I129*VLOOKUP($H129,食材表!$A:I,9,FALSE),0)+IFERROR($I130*VLOOKUP($H130,食材表!$A:I,9,FALSE),0)+IFERROR($K128*VLOOKUP($J128,食材表!$A:I,9,FALSE),0)+IFERROR($K129*VLOOKUP($J129,食材表!$A:I,9,FALSE),0)+IFERROR($K130*VLOOKUP($J130,食材表!$A:I,9,FALSE),0)</f>
        <v>0</v>
      </c>
      <c r="S128" s="342">
        <f>SUM(L128*70+M128*75+N128*120+O128*25+P128*60+Q128*45+R128*4)</f>
        <v>214.24</v>
      </c>
    </row>
    <row r="129" spans="1:19">
      <c r="A129" s="33" t="str">
        <f>"2"&amp;+$B128</f>
        <v>2芝麻包+羅漢果茶</v>
      </c>
      <c r="B129" s="350"/>
      <c r="C129" s="22" t="s">
        <v>1180</v>
      </c>
      <c r="D129" s="79" t="s">
        <v>1148</v>
      </c>
      <c r="E129" s="22"/>
      <c r="F129" s="36"/>
      <c r="G129" s="353"/>
      <c r="H129" s="93" t="str">
        <f t="shared" ref="H129:H130" si="86">C129</f>
        <v>羅漢果</v>
      </c>
      <c r="I129" s="86" t="str">
        <f>IFERROR(IF(LEN(D129)=LENB(D129),ROUND(LEFT(D129,2*LEN(D129)-LENB(D129))/$A$1,3),((ROUND(LEFT(D129,2*LEN(D129)-LENB(D129))/$A$1,3))*VLOOKUP(H129,食材表!$A:$B,2,FALSE))),"")</f>
        <v/>
      </c>
      <c r="J129" s="93">
        <f t="shared" ref="J129:J130" si="87">E129</f>
        <v>0</v>
      </c>
      <c r="K129" s="86" t="str">
        <f>IFERROR(IF(LEN(F129)=LENB(F129),ROUND(LEFT(F129,2*LEN(F129)-LENB(F129))/$A$1,3),((ROUND(LEFT(F129,2*LEN(F129)-LENB(F129))/$A$1,3))*VLOOKUP(J129,食材表!$A:$B,2,FALSE))),"")</f>
        <v/>
      </c>
      <c r="L129" s="343"/>
      <c r="M129" s="343"/>
      <c r="N129" s="343"/>
      <c r="O129" s="343"/>
      <c r="P129" s="343"/>
      <c r="Q129" s="343"/>
      <c r="R129" s="343"/>
      <c r="S129" s="343"/>
    </row>
    <row r="130" spans="1:19">
      <c r="A130" s="33" t="str">
        <f>"3"&amp;+$B128</f>
        <v>3芝麻包+羅漢果茶</v>
      </c>
      <c r="B130" s="351"/>
      <c r="C130" s="26"/>
      <c r="D130" s="37"/>
      <c r="E130" s="26"/>
      <c r="F130" s="37"/>
      <c r="G130" s="354"/>
      <c r="H130" s="92">
        <f t="shared" si="86"/>
        <v>0</v>
      </c>
      <c r="I130" s="84" t="str">
        <f>IFERROR(IF(LEN(D130)=LENB(D130),ROUND(LEFT(D130,2*LEN(D130)-LENB(D130))/$A$1,3),((ROUND(LEFT(D130,2*LEN(D130)-LENB(D130))/$A$1,3))*VLOOKUP(H130,食材表!$A:$B,2,FALSE))),"")</f>
        <v/>
      </c>
      <c r="J130" s="92">
        <f t="shared" si="87"/>
        <v>0</v>
      </c>
      <c r="K130" s="85" t="str">
        <f>IFERROR(IF(LEN(F130)=LENB(F130),ROUND(LEFT(F130,2*LEN(F130)-LENB(F130))/$A$1,3),((ROUND(LEFT(F130,2*LEN(F130)-LENB(F130))/$A$1,3))*VLOOKUP(J130,食材表!$A:$B,2,FALSE))),"")</f>
        <v/>
      </c>
      <c r="L130" s="344"/>
      <c r="M130" s="344"/>
      <c r="N130" s="344"/>
      <c r="O130" s="344"/>
      <c r="P130" s="344"/>
      <c r="Q130" s="344"/>
      <c r="R130" s="344"/>
      <c r="S130" s="344"/>
    </row>
    <row r="131" spans="1:19">
      <c r="A131" s="33" t="str">
        <f>"1"&amp;+$B131</f>
        <v>1銀絲卷</v>
      </c>
      <c r="B131" s="349" t="s">
        <v>1050</v>
      </c>
      <c r="C131" s="60" t="s">
        <v>1051</v>
      </c>
      <c r="D131" s="71" t="str">
        <f>$A$1+2&amp;+"個"</f>
        <v>52個</v>
      </c>
      <c r="E131" s="60"/>
      <c r="F131" s="36"/>
      <c r="G131" s="352" t="str">
        <f>B131</f>
        <v>銀絲卷</v>
      </c>
      <c r="H131" s="91" t="str">
        <f>C131</f>
        <v>銀絲卷</v>
      </c>
      <c r="I131" s="83">
        <f>IFERROR(IF(LEN(D131)=LENB(D131),ROUND(LEFT(D131,2*LEN(D131)-LENB(D131))/$A$1,3),((ROUND(LEFT(D131,2*LEN(D131)-LENB(D131))/$A$1,3))*VLOOKUP(H131,食材表!$A:$B,2,FALSE))),"")</f>
        <v>1.04</v>
      </c>
      <c r="J131" s="91">
        <f>E131</f>
        <v>0</v>
      </c>
      <c r="K131" s="83" t="str">
        <f>IFERROR(IF(LEN(F131)=LENB(F131),ROUND(LEFT(F131,2*LEN(F131)-LENB(F131))/$A$1,3),((ROUND(LEFT(F131,2*LEN(F131)-LENB(F131))/$A$1,3))*VLOOKUP(J131,食材表!$A:$B,2,FALSE))),"")</f>
        <v/>
      </c>
      <c r="L131" s="342">
        <f>IFERROR($I131*VLOOKUP($H131,食材表!$A:C,3,FALSE),0)+IFERROR($I132*VLOOKUP($H132,食材表!$A:C,3,FALSE),0)+IFERROR($I133*VLOOKUP($H133,食材表!$A:C,3,FALSE),0)+IFERROR($K131*VLOOKUP($J131,食材表!$A:C,3,FALSE),0)+IFERROR($K132*VLOOKUP($J132,食材表!$A:C,3,FALSE),0)+IFERROR($K133*VLOOKUP($J133,食材表!$A:C,3,FALSE),0)</f>
        <v>3.12</v>
      </c>
      <c r="M131" s="342">
        <f>IFERROR($I131*VLOOKUP($H131,食材表!$A:D,4,FALSE),0)+IFERROR($I132*VLOOKUP($H132,食材表!$A:D,4,FALSE),0)+IFERROR($I133*VLOOKUP($H133,食材表!$A:D,4,FALSE),0)+IFERROR($K131*VLOOKUP($J131,食材表!$A:D,4,FALSE),0)+IFERROR($K132*VLOOKUP($J132,食材表!$A:D,4,FALSE),0)+IFERROR($K133*VLOOKUP($J133,食材表!$A:D,4,FALSE),0)</f>
        <v>0</v>
      </c>
      <c r="N131" s="342">
        <f>IFERROR($I131*VLOOKUP($H131,食材表!$A:E,5,FALSE),0)+IFERROR($I132*VLOOKUP($H132,食材表!$A:E,5,FALSE),0)+IFERROR($I133*VLOOKUP($H133,食材表!$A:E,5,FALSE),0)+IFERROR($K131*VLOOKUP($J131,食材表!$A:E,5,FALSE),0)+IFERROR($K132*VLOOKUP($J132,食材表!$A:E,5,FALSE),0)+IFERROR($K133*VLOOKUP($J133,食材表!$A:E,5,FALSE),0)</f>
        <v>0</v>
      </c>
      <c r="O131" s="342">
        <f>IFERROR($I131*VLOOKUP($H131,食材表!$A:F,6,FALSE),0)+IFERROR($I132*VLOOKUP($H132,食材表!$A:F,6,FALSE),0)+IFERROR($I133*VLOOKUP($H133,食材表!$A:F,6,FALSE),0)+IFERROR($K131*VLOOKUP($J131,食材表!$A:F,6,FALSE),0)+IFERROR($K132*VLOOKUP($J132,食材表!$A:F,6,FALSE),0)+IFERROR($K133*VLOOKUP($J133,食材表!$A:F,6,FALSE),0)</f>
        <v>0</v>
      </c>
      <c r="P131" s="342">
        <f>IFERROR($I131*VLOOKUP($H131,食材表!$A:G,7,FALSE),0)+IFERROR($I132*VLOOKUP($H132,食材表!$A:G,7,FALSE),0)+IFERROR($I133*VLOOKUP($H133,食材表!$A:G,7,FALSE),0)+IFERROR($K131*VLOOKUP($J131,食材表!$A:G,7,FALSE),0)+IFERROR($K132*VLOOKUP($J132,食材表!$A:G,7,FALSE),0)+IFERROR($K133*VLOOKUP($J133,食材表!$A:G,7,FALSE),0)</f>
        <v>0</v>
      </c>
      <c r="Q131" s="342">
        <f>IFERROR($I131*VLOOKUP($H131,食材表!$A:H,8,FALSE),0)+IFERROR($I132*VLOOKUP($H132,食材表!$A:H,8,FALSE),0)+IFERROR($I133*VLOOKUP($H133,食材表!$A:H,8,FALSE),0)+IFERROR($K131*VLOOKUP($J131,食材表!$A:H,8,FALSE),0)+IFERROR($K132*VLOOKUP($J132,食材表!$A:H,8,FALSE),0)+IFERROR($K133*VLOOKUP($J133,食材表!$A:H,8,FALSE),0)</f>
        <v>0</v>
      </c>
      <c r="R131" s="342">
        <f>IFERROR($I131*VLOOKUP($H131,食材表!$A:I,9,FALSE),0)+IFERROR($I132*VLOOKUP($H132,食材表!$A:I,9,FALSE),0)+IFERROR($I133*VLOOKUP($H133,食材表!$A:I,9,FALSE),0)+IFERROR($K131*VLOOKUP($J131,食材表!$A:I,9,FALSE),0)+IFERROR($K132*VLOOKUP($J132,食材表!$A:I,9,FALSE),0)+IFERROR($K133*VLOOKUP($J133,食材表!$A:I,9,FALSE),0)</f>
        <v>0</v>
      </c>
      <c r="S131" s="342">
        <f>SUM(L131*70+M131*75+N131*120+O131*25+P131*60+Q131*45+R131*4)</f>
        <v>218.4</v>
      </c>
    </row>
    <row r="132" spans="1:19">
      <c r="A132" s="33" t="str">
        <f>"2"&amp;+$B131</f>
        <v>2銀絲卷</v>
      </c>
      <c r="B132" s="350"/>
      <c r="C132" s="22"/>
      <c r="D132" s="36"/>
      <c r="E132" s="22"/>
      <c r="F132" s="36"/>
      <c r="G132" s="353"/>
      <c r="H132" s="93">
        <f t="shared" ref="H132:H133" si="88">C132</f>
        <v>0</v>
      </c>
      <c r="I132" s="86" t="str">
        <f>IFERROR(IF(LEN(D132)=LENB(D132),ROUND(LEFT(D132,2*LEN(D132)-LENB(D132))/$A$1,3),((ROUND(LEFT(D132,2*LEN(D132)-LENB(D132))/$A$1,3))*VLOOKUP(H132,食材表!$A:$B,2,FALSE))),"")</f>
        <v/>
      </c>
      <c r="J132" s="93">
        <f t="shared" ref="J132:J133" si="89">E132</f>
        <v>0</v>
      </c>
      <c r="K132" s="86" t="str">
        <f>IFERROR(IF(LEN(F132)=LENB(F132),ROUND(LEFT(F132,2*LEN(F132)-LENB(F132))/$A$1,3),((ROUND(LEFT(F132,2*LEN(F132)-LENB(F132))/$A$1,3))*VLOOKUP(J132,食材表!$A:$B,2,FALSE))),"")</f>
        <v/>
      </c>
      <c r="L132" s="343"/>
      <c r="M132" s="343"/>
      <c r="N132" s="343"/>
      <c r="O132" s="343"/>
      <c r="P132" s="343"/>
      <c r="Q132" s="343"/>
      <c r="R132" s="343"/>
      <c r="S132" s="343"/>
    </row>
    <row r="133" spans="1:19">
      <c r="A133" s="33" t="str">
        <f>"3"&amp;+$B131</f>
        <v>3銀絲卷</v>
      </c>
      <c r="B133" s="351"/>
      <c r="C133" s="26"/>
      <c r="D133" s="37"/>
      <c r="E133" s="26"/>
      <c r="F133" s="37"/>
      <c r="G133" s="354"/>
      <c r="H133" s="92">
        <f t="shared" si="88"/>
        <v>0</v>
      </c>
      <c r="I133" s="84" t="str">
        <f>IFERROR(IF(LEN(D133)=LENB(D133),ROUND(LEFT(D133,2*LEN(D133)-LENB(D133))/$A$1,3),((ROUND(LEFT(D133,2*LEN(D133)-LENB(D133))/$A$1,3))*VLOOKUP(H133,食材表!$A:$B,2,FALSE))),"")</f>
        <v/>
      </c>
      <c r="J133" s="92">
        <f t="shared" si="89"/>
        <v>0</v>
      </c>
      <c r="K133" s="85" t="str">
        <f>IFERROR(IF(LEN(F133)=LENB(F133),ROUND(LEFT(F133,2*LEN(F133)-LENB(F133))/$A$1,3),((ROUND(LEFT(F133,2*LEN(F133)-LENB(F133))/$A$1,3))*VLOOKUP(J133,食材表!$A:$B,2,FALSE))),"")</f>
        <v/>
      </c>
      <c r="L133" s="344"/>
      <c r="M133" s="344"/>
      <c r="N133" s="344"/>
      <c r="O133" s="344"/>
      <c r="P133" s="344"/>
      <c r="Q133" s="344"/>
      <c r="R133" s="344"/>
      <c r="S133" s="344"/>
    </row>
    <row r="134" spans="1:19">
      <c r="A134" s="33" t="str">
        <f>"1"&amp;+$B134</f>
        <v>1滷鴿蛋</v>
      </c>
      <c r="B134" s="349" t="s">
        <v>1117</v>
      </c>
      <c r="C134" s="60" t="s">
        <v>1118</v>
      </c>
      <c r="D134" s="71" t="str">
        <f>($A$1+2)*5&amp;+"個"</f>
        <v>260個</v>
      </c>
      <c r="E134" s="60"/>
      <c r="F134" s="36"/>
      <c r="G134" s="352" t="str">
        <f t="shared" ref="G134" si="90">B134</f>
        <v>滷鴿蛋</v>
      </c>
      <c r="H134" s="91" t="str">
        <f t="shared" ref="H134:H140" si="91">C134</f>
        <v>小鴿蛋</v>
      </c>
      <c r="I134" s="83" t="str">
        <f>IFERROR(IF(LEN(D134)=LENB(D134),ROUND(LEFT(D134,2*LEN(D134)-LENB(D134))/$A$1,3),((ROUND(LEFT(D134,2*LEN(D134)-LENB(D134))/$A$1,3))*VLOOKUP(H134,食材表!$A:$B,2,FALSE))),"")</f>
        <v/>
      </c>
      <c r="J134" s="91">
        <f t="shared" ref="J134:J140" si="92">E134</f>
        <v>0</v>
      </c>
      <c r="K134" s="83" t="str">
        <f>IFERROR(IF(LEN(F134)=LENB(F134),ROUND(LEFT(F134,2*LEN(F134)-LENB(F134))/$A$1,3),((ROUND(LEFT(F134,2*LEN(F134)-LENB(F134))/$A$1,3))*VLOOKUP(J134,食材表!$A:$B,2,FALSE))),"")</f>
        <v/>
      </c>
      <c r="L134" s="342">
        <f>IFERROR($I134*VLOOKUP($H134,食材表!$A:C,3,FALSE),0)+IFERROR($I135*VLOOKUP($H135,食材表!$A:C,3,FALSE),0)+IFERROR($I136*VLOOKUP($H136,食材表!$A:C,3,FALSE),0)+IFERROR($K134*VLOOKUP($J134,食材表!$A:C,3,FALSE),0)+IFERROR($K135*VLOOKUP($J135,食材表!$A:C,3,FALSE),0)+IFERROR($K136*VLOOKUP($J136,食材表!$A:C,3,FALSE),0)</f>
        <v>0</v>
      </c>
      <c r="M134" s="342">
        <f>IFERROR($I134*VLOOKUP($H134,食材表!$A:D,4,FALSE),0)+IFERROR($I135*VLOOKUP($H135,食材表!$A:D,4,FALSE),0)+IFERROR($I136*VLOOKUP($H136,食材表!$A:D,4,FALSE),0)+IFERROR($K134*VLOOKUP($J134,食材表!$A:D,4,FALSE),0)+IFERROR($K135*VLOOKUP($J135,食材表!$A:D,4,FALSE),0)+IFERROR($K136*VLOOKUP($J136,食材表!$A:D,4,FALSE),0)</f>
        <v>0</v>
      </c>
      <c r="N134" s="342">
        <f>IFERROR($I134*VLOOKUP($H134,食材表!$A:E,5,FALSE),0)+IFERROR($I135*VLOOKUP($H135,食材表!$A:E,5,FALSE),0)+IFERROR($I136*VLOOKUP($H136,食材表!$A:E,5,FALSE),0)+IFERROR($K134*VLOOKUP($J134,食材表!$A:E,5,FALSE),0)+IFERROR($K135*VLOOKUP($J135,食材表!$A:E,5,FALSE),0)+IFERROR($K136*VLOOKUP($J136,食材表!$A:E,5,FALSE),0)</f>
        <v>0</v>
      </c>
      <c r="O134" s="342">
        <f>IFERROR($I134*VLOOKUP($H134,食材表!$A:F,6,FALSE),0)+IFERROR($I135*VLOOKUP($H135,食材表!$A:F,6,FALSE),0)+IFERROR($I136*VLOOKUP($H136,食材表!$A:F,6,FALSE),0)+IFERROR($K134*VLOOKUP($J134,食材表!$A:F,6,FALSE),0)+IFERROR($K135*VLOOKUP($J135,食材表!$A:F,6,FALSE),0)+IFERROR($K136*VLOOKUP($J136,食材表!$A:F,6,FALSE),0)</f>
        <v>0</v>
      </c>
      <c r="P134" s="342">
        <f>IFERROR($I134*VLOOKUP($H134,食材表!$A:G,7,FALSE),0)+IFERROR($I135*VLOOKUP($H135,食材表!$A:G,7,FALSE),0)+IFERROR($I136*VLOOKUP($H136,食材表!$A:G,7,FALSE),0)+IFERROR($K134*VLOOKUP($J134,食材表!$A:G,7,FALSE),0)+IFERROR($K135*VLOOKUP($J135,食材表!$A:G,7,FALSE),0)+IFERROR($K136*VLOOKUP($J136,食材表!$A:G,7,FALSE),0)</f>
        <v>0</v>
      </c>
      <c r="Q134" s="342">
        <f>IFERROR($I134*VLOOKUP($H134,食材表!$A:H,8,FALSE),0)+IFERROR($I135*VLOOKUP($H135,食材表!$A:H,8,FALSE),0)+IFERROR($I136*VLOOKUP($H136,食材表!$A:H,8,FALSE),0)+IFERROR($K134*VLOOKUP($J134,食材表!$A:H,8,FALSE),0)+IFERROR($K135*VLOOKUP($J135,食材表!$A:H,8,FALSE),0)+IFERROR($K136*VLOOKUP($J136,食材表!$A:H,8,FALSE),0)</f>
        <v>0</v>
      </c>
      <c r="R134" s="342">
        <f>IFERROR($I134*VLOOKUP($H134,食材表!$A:I,9,FALSE),0)+IFERROR($I135*VLOOKUP($H135,食材表!$A:I,9,FALSE),0)+IFERROR($I136*VLOOKUP($H136,食材表!$A:I,9,FALSE),0)+IFERROR($K134*VLOOKUP($J134,食材表!$A:I,9,FALSE),0)+IFERROR($K135*VLOOKUP($J135,食材表!$A:I,9,FALSE),0)+IFERROR($K136*VLOOKUP($J136,食材表!$A:I,9,FALSE),0)</f>
        <v>0</v>
      </c>
      <c r="S134" s="342">
        <f t="shared" ref="S134" si="93">SUM(L134*70+M134*75+N134*120+O134*25+P134*60+Q134*45+R134*4)</f>
        <v>0</v>
      </c>
    </row>
    <row r="135" spans="1:19">
      <c r="A135" s="33" t="str">
        <f>"2"&amp;+$B134</f>
        <v>2滷鴿蛋</v>
      </c>
      <c r="B135" s="350"/>
      <c r="C135" s="22" t="s">
        <v>1079</v>
      </c>
      <c r="D135" s="36" t="s">
        <v>1092</v>
      </c>
      <c r="E135" s="22"/>
      <c r="F135" s="36"/>
      <c r="G135" s="353"/>
      <c r="H135" s="93" t="str">
        <f t="shared" si="91"/>
        <v>滷包</v>
      </c>
      <c r="I135" s="86" t="str">
        <f>IFERROR(IF(LEN(D135)=LENB(D135),ROUND(LEFT(D135,2*LEN(D135)-LENB(D135))/$A$1,3),((ROUND(LEFT(D135,2*LEN(D135)-LENB(D135))/$A$1,3))*VLOOKUP(H135,食材表!$A:$B,2,FALSE))),"")</f>
        <v/>
      </c>
      <c r="J135" s="93">
        <f t="shared" si="92"/>
        <v>0</v>
      </c>
      <c r="K135" s="86" t="str">
        <f>IFERROR(IF(LEN(F135)=LENB(F135),ROUND(LEFT(F135,2*LEN(F135)-LENB(F135))/$A$1,3),((ROUND(LEFT(F135,2*LEN(F135)-LENB(F135))/$A$1,3))*VLOOKUP(J135,食材表!$A:$B,2,FALSE))),"")</f>
        <v/>
      </c>
      <c r="L135" s="343"/>
      <c r="M135" s="343"/>
      <c r="N135" s="343"/>
      <c r="O135" s="343"/>
      <c r="P135" s="343"/>
      <c r="Q135" s="343"/>
      <c r="R135" s="343"/>
      <c r="S135" s="343"/>
    </row>
    <row r="136" spans="1:19">
      <c r="A136" s="33" t="str">
        <f>"3"&amp;+$B134</f>
        <v>3滷鴿蛋</v>
      </c>
      <c r="B136" s="351"/>
      <c r="C136" s="26"/>
      <c r="D136" s="37"/>
      <c r="E136" s="26"/>
      <c r="F136" s="37"/>
      <c r="G136" s="354"/>
      <c r="H136" s="92">
        <f t="shared" si="91"/>
        <v>0</v>
      </c>
      <c r="I136" s="84" t="str">
        <f>IFERROR(IF(LEN(D136)=LENB(D136),ROUND(LEFT(D136,2*LEN(D136)-LENB(D136))/$A$1,3),((ROUND(LEFT(D136,2*LEN(D136)-LENB(D136))/$A$1,3))*VLOOKUP(H136,食材表!$A:$B,2,FALSE))),"")</f>
        <v/>
      </c>
      <c r="J136" s="92">
        <f t="shared" si="92"/>
        <v>0</v>
      </c>
      <c r="K136" s="85" t="str">
        <f>IFERROR(IF(LEN(F136)=LENB(F136),ROUND(LEFT(F136,2*LEN(F136)-LENB(F136))/$A$1,3),((ROUND(LEFT(F136,2*LEN(F136)-LENB(F136))/$A$1,3))*VLOOKUP(J136,食材表!$A:$B,2,FALSE))),"")</f>
        <v/>
      </c>
      <c r="L136" s="344"/>
      <c r="M136" s="344"/>
      <c r="N136" s="344"/>
      <c r="O136" s="344"/>
      <c r="P136" s="344"/>
      <c r="Q136" s="344"/>
      <c r="R136" s="344"/>
      <c r="S136" s="344"/>
    </row>
    <row r="137" spans="1:19">
      <c r="A137" s="33" t="str">
        <f>"1"&amp;+$B137</f>
        <v>1沙其馬</v>
      </c>
      <c r="B137" s="349" t="s">
        <v>424</v>
      </c>
      <c r="C137" s="60" t="s">
        <v>424</v>
      </c>
      <c r="D137" s="71" t="str">
        <f>$A$1+2&amp;+"個"</f>
        <v>52個</v>
      </c>
      <c r="E137" s="60"/>
      <c r="F137" s="36"/>
      <c r="G137" s="352" t="str">
        <f t="shared" ref="G137" si="94">B137</f>
        <v>沙其馬</v>
      </c>
      <c r="H137" s="91" t="str">
        <f t="shared" si="91"/>
        <v>沙其馬</v>
      </c>
      <c r="I137" s="83">
        <f>IFERROR(IF(LEN(D137)=LENB(D137),ROUND(LEFT(D137,2*LEN(D137)-LENB(D137))/$A$1,3),((ROUND(LEFT(D137,2*LEN(D137)-LENB(D137))/$A$1,3))*VLOOKUP(H137,食材表!$A:$B,2,FALSE))),"")</f>
        <v>1.04</v>
      </c>
      <c r="J137" s="91">
        <f t="shared" si="92"/>
        <v>0</v>
      </c>
      <c r="K137" s="83" t="str">
        <f>IFERROR(IF(LEN(F137)=LENB(F137),ROUND(LEFT(F137,2*LEN(F137)-LENB(F137))/$A$1,3),((ROUND(LEFT(F137,2*LEN(F137)-LENB(F137))/$A$1,3))*VLOOKUP(J137,食材表!$A:$B,2,FALSE))),"")</f>
        <v/>
      </c>
      <c r="L137" s="342">
        <f>IFERROR($I137*VLOOKUP($H137,食材表!$A:C,3,FALSE),0)+IFERROR($I138*VLOOKUP($H138,食材表!$A:C,3,FALSE),0)+IFERROR($I139*VLOOKUP($H139,食材表!$A:C,3,FALSE),0)+IFERROR($K137*VLOOKUP($J137,食材表!$A:C,3,FALSE),0)+IFERROR($K138*VLOOKUP($J138,食材表!$A:C,3,FALSE),0)+IFERROR($K139*VLOOKUP($J139,食材表!$A:C,3,FALSE),0)</f>
        <v>1.56</v>
      </c>
      <c r="M137" s="342">
        <f>IFERROR($I137*VLOOKUP($H137,食材表!$A:D,4,FALSE),0)+IFERROR($I138*VLOOKUP($H138,食材表!$A:D,4,FALSE),0)+IFERROR($I139*VLOOKUP($H139,食材表!$A:D,4,FALSE),0)+IFERROR($K137*VLOOKUP($J137,食材表!$A:D,4,FALSE),0)+IFERROR($K138*VLOOKUP($J138,食材表!$A:D,4,FALSE),0)+IFERROR($K139*VLOOKUP($J139,食材表!$A:D,4,FALSE),0)</f>
        <v>0</v>
      </c>
      <c r="N137" s="342">
        <f>IFERROR($I137*VLOOKUP($H137,食材表!$A:E,5,FALSE),0)+IFERROR($I138*VLOOKUP($H138,食材表!$A:E,5,FALSE),0)+IFERROR($I139*VLOOKUP($H139,食材表!$A:E,5,FALSE),0)+IFERROR($K137*VLOOKUP($J137,食材表!$A:E,5,FALSE),0)+IFERROR($K138*VLOOKUP($J138,食材表!$A:E,5,FALSE),0)+IFERROR($K139*VLOOKUP($J139,食材表!$A:E,5,FALSE),0)</f>
        <v>0</v>
      </c>
      <c r="O137" s="342">
        <f>IFERROR($I137*VLOOKUP($H137,食材表!$A:F,6,FALSE),0)+IFERROR($I138*VLOOKUP($H138,食材表!$A:F,6,FALSE),0)+IFERROR($I139*VLOOKUP($H139,食材表!$A:F,6,FALSE),0)+IFERROR($K137*VLOOKUP($J137,食材表!$A:F,6,FALSE),0)+IFERROR($K138*VLOOKUP($J138,食材表!$A:F,6,FALSE),0)+IFERROR($K139*VLOOKUP($J139,食材表!$A:F,6,FALSE),0)</f>
        <v>0</v>
      </c>
      <c r="P137" s="342">
        <f>IFERROR($I137*VLOOKUP($H137,食材表!$A:G,7,FALSE),0)+IFERROR($I138*VLOOKUP($H138,食材表!$A:G,7,FALSE),0)+IFERROR($I139*VLOOKUP($H139,食材表!$A:G,7,FALSE),0)+IFERROR($K137*VLOOKUP($J137,食材表!$A:G,7,FALSE),0)+IFERROR($K138*VLOOKUP($J138,食材表!$A:G,7,FALSE),0)+IFERROR($K139*VLOOKUP($J139,食材表!$A:G,7,FALSE),0)</f>
        <v>0</v>
      </c>
      <c r="Q137" s="342">
        <f>IFERROR($I137*VLOOKUP($H137,食材表!$A:H,8,FALSE),0)+IFERROR($I138*VLOOKUP($H138,食材表!$A:H,8,FALSE),0)+IFERROR($I139*VLOOKUP($H139,食材表!$A:H,8,FALSE),0)+IFERROR($K137*VLOOKUP($J137,食材表!$A:H,8,FALSE),0)+IFERROR($K138*VLOOKUP($J138,食材表!$A:H,8,FALSE),0)+IFERROR($K139*VLOOKUP($J139,食材表!$A:H,8,FALSE),0)</f>
        <v>1.3520000000000001</v>
      </c>
      <c r="R137" s="342">
        <f>IFERROR($I137*VLOOKUP($H137,食材表!$A:I,9,FALSE),0)+IFERROR($I138*VLOOKUP($H138,食材表!$A:I,9,FALSE),0)+IFERROR($I139*VLOOKUP($H139,食材表!$A:I,9,FALSE),0)+IFERROR($K137*VLOOKUP($J137,食材表!$A:I,9,FALSE),0)+IFERROR($K138*VLOOKUP($J138,食材表!$A:I,9,FALSE),0)+IFERROR($K139*VLOOKUP($J139,食材表!$A:I,9,FALSE),0)</f>
        <v>10.4</v>
      </c>
      <c r="S137" s="342">
        <f t="shared" ref="S137" si="95">SUM(L137*70+M137*75+N137*120+O137*25+P137*60+Q137*45+R137*4)</f>
        <v>211.64000000000001</v>
      </c>
    </row>
    <row r="138" spans="1:19">
      <c r="A138" s="33" t="str">
        <f>"2"&amp;+$B137</f>
        <v>2沙其馬</v>
      </c>
      <c r="B138" s="350"/>
      <c r="C138" s="22"/>
      <c r="D138" s="36"/>
      <c r="E138" s="22"/>
      <c r="F138" s="36"/>
      <c r="G138" s="353"/>
      <c r="H138" s="93">
        <f t="shared" si="91"/>
        <v>0</v>
      </c>
      <c r="I138" s="86" t="str">
        <f>IFERROR(IF(LEN(D138)=LENB(D138),ROUND(LEFT(D138,2*LEN(D138)-LENB(D138))/$A$1,3),((ROUND(LEFT(D138,2*LEN(D138)-LENB(D138))/$A$1,3))*VLOOKUP(H138,食材表!$A:$B,2,FALSE))),"")</f>
        <v/>
      </c>
      <c r="J138" s="93">
        <f t="shared" si="92"/>
        <v>0</v>
      </c>
      <c r="K138" s="86" t="str">
        <f>IFERROR(IF(LEN(F138)=LENB(F138),ROUND(LEFT(F138,2*LEN(F138)-LENB(F138))/$A$1,3),((ROUND(LEFT(F138,2*LEN(F138)-LENB(F138))/$A$1,3))*VLOOKUP(J138,食材表!$A:$B,2,FALSE))),"")</f>
        <v/>
      </c>
      <c r="L138" s="343"/>
      <c r="M138" s="343"/>
      <c r="N138" s="343"/>
      <c r="O138" s="343"/>
      <c r="P138" s="343"/>
      <c r="Q138" s="343"/>
      <c r="R138" s="343"/>
      <c r="S138" s="343"/>
    </row>
    <row r="139" spans="1:19">
      <c r="A139" s="33" t="str">
        <f>"3"&amp;+$B137</f>
        <v>3沙其馬</v>
      </c>
      <c r="B139" s="351"/>
      <c r="C139" s="26"/>
      <c r="D139" s="37"/>
      <c r="E139" s="26"/>
      <c r="F139" s="37"/>
      <c r="G139" s="354"/>
      <c r="H139" s="92">
        <f t="shared" si="91"/>
        <v>0</v>
      </c>
      <c r="I139" s="84" t="str">
        <f>IFERROR(IF(LEN(D139)=LENB(D139),ROUND(LEFT(D139,2*LEN(D139)-LENB(D139))/$A$1,3),((ROUND(LEFT(D139,2*LEN(D139)-LENB(D139))/$A$1,3))*VLOOKUP(H139,食材表!$A:$B,2,FALSE))),"")</f>
        <v/>
      </c>
      <c r="J139" s="92">
        <f t="shared" si="92"/>
        <v>0</v>
      </c>
      <c r="K139" s="85" t="str">
        <f>IFERROR(IF(LEN(F139)=LENB(F139),ROUND(LEFT(F139,2*LEN(F139)-LENB(F139))/$A$1,3),((ROUND(LEFT(F139,2*LEN(F139)-LENB(F139))/$A$1,3))*VLOOKUP(J139,食材表!$A:$B,2,FALSE))),"")</f>
        <v/>
      </c>
      <c r="L139" s="344"/>
      <c r="M139" s="344"/>
      <c r="N139" s="344"/>
      <c r="O139" s="344"/>
      <c r="P139" s="344"/>
      <c r="Q139" s="344"/>
      <c r="R139" s="344"/>
      <c r="S139" s="344"/>
    </row>
    <row r="140" spans="1:19">
      <c r="A140" s="33" t="str">
        <f>"1"&amp;+$B140</f>
        <v>1銅鑼燒</v>
      </c>
      <c r="B140" s="355" t="s">
        <v>94</v>
      </c>
      <c r="C140" s="55" t="s">
        <v>94</v>
      </c>
      <c r="D140" s="71" t="str">
        <f>$A$1+2&amp;+"個"</f>
        <v>52個</v>
      </c>
      <c r="E140" s="55"/>
      <c r="F140" s="33"/>
      <c r="G140" s="352" t="str">
        <f>B140</f>
        <v>銅鑼燒</v>
      </c>
      <c r="H140" s="91" t="str">
        <f t="shared" si="91"/>
        <v>銅鑼燒</v>
      </c>
      <c r="I140" s="83">
        <f>IFERROR(IF(LEN(D140)=LENB(D140),ROUND(LEFT(D140,2*LEN(D140)-LENB(D140))/$A$1,3),((ROUND(LEFT(D140,2*LEN(D140)-LENB(D140))/$A$1,3))*VLOOKUP(H140,食材表!$A:$B,2,FALSE))),"")</f>
        <v>1.04</v>
      </c>
      <c r="J140" s="91">
        <f t="shared" si="92"/>
        <v>0</v>
      </c>
      <c r="K140" s="83" t="str">
        <f>IFERROR(IF(LEN(F140)=LENB(F140),ROUND(LEFT(F140,2*LEN(F140)-LENB(F140))/$A$1,3),((ROUND(LEFT(F140,2*LEN(F140)-LENB(F140))/$A$1,3))*VLOOKUP(J140,食材表!$A:$B,2,FALSE))),"")</f>
        <v/>
      </c>
      <c r="L140" s="342">
        <f>IFERROR($I140*VLOOKUP($H140,食材表!$A:C,3,FALSE),0)+IFERROR($I141*VLOOKUP($H141,食材表!$A:C,3,FALSE),0)+IFERROR($I142*VLOOKUP($H142,食材表!$A:C,3,FALSE),0)+IFERROR($K140*VLOOKUP($J140,食材表!$A:C,3,FALSE),0)+IFERROR($K141*VLOOKUP($J141,食材表!$A:C,3,FALSE),0)+IFERROR($K142*VLOOKUP($J142,食材表!$A:C,3,FALSE),0)</f>
        <v>2.2880000000000003</v>
      </c>
      <c r="M140" s="342">
        <f>IFERROR($I140*VLOOKUP($H140,食材表!$A:D,4,FALSE),0)+IFERROR($I141*VLOOKUP($H141,食材表!$A:D,4,FALSE),0)+IFERROR($I142*VLOOKUP($H142,食材表!$A:D,4,FALSE),0)+IFERROR($K140*VLOOKUP($J140,食材表!$A:D,4,FALSE),0)+IFERROR($K141*VLOOKUP($J141,食材表!$A:D,4,FALSE),0)+IFERROR($K142*VLOOKUP($J142,食材表!$A:D,4,FALSE),0)</f>
        <v>0</v>
      </c>
      <c r="N140" s="342">
        <f>IFERROR($I140*VLOOKUP($H140,食材表!$A:E,5,FALSE),0)+IFERROR($I141*VLOOKUP($H141,食材表!$A:E,5,FALSE),0)+IFERROR($I142*VLOOKUP($H142,食材表!$A:E,5,FALSE),0)+IFERROR($K140*VLOOKUP($J140,食材表!$A:E,5,FALSE),0)+IFERROR($K141*VLOOKUP($J141,食材表!$A:E,5,FALSE),0)+IFERROR($K142*VLOOKUP($J142,食材表!$A:E,5,FALSE),0)</f>
        <v>0</v>
      </c>
      <c r="O140" s="342">
        <f>IFERROR($I140*VLOOKUP($H140,食材表!$A:F,6,FALSE),0)+IFERROR($I141*VLOOKUP($H141,食材表!$A:F,6,FALSE),0)+IFERROR($I142*VLOOKUP($H142,食材表!$A:F,6,FALSE),0)+IFERROR($K140*VLOOKUP($J140,食材表!$A:F,6,FALSE),0)+IFERROR($K141*VLOOKUP($J141,食材表!$A:F,6,FALSE),0)+IFERROR($K142*VLOOKUP($J142,食材表!$A:F,6,FALSE),0)</f>
        <v>0</v>
      </c>
      <c r="P140" s="342">
        <f>IFERROR($I140*VLOOKUP($H140,食材表!$A:G,7,FALSE),0)+IFERROR($I141*VLOOKUP($H141,食材表!$A:G,7,FALSE),0)+IFERROR($I142*VLOOKUP($H142,食材表!$A:G,7,FALSE),0)+IFERROR($K140*VLOOKUP($J140,食材表!$A:G,7,FALSE),0)+IFERROR($K141*VLOOKUP($J141,食材表!$A:G,7,FALSE),0)+IFERROR($K142*VLOOKUP($J142,食材表!$A:G,7,FALSE),0)</f>
        <v>0</v>
      </c>
      <c r="Q140" s="342">
        <f>IFERROR($I140*VLOOKUP($H140,食材表!$A:H,8,FALSE),0)+IFERROR($I141*VLOOKUP($H141,食材表!$A:H,8,FALSE),0)+IFERROR($I142*VLOOKUP($H142,食材表!$A:H,8,FALSE),0)+IFERROR($K140*VLOOKUP($J140,食材表!$A:H,8,FALSE),0)+IFERROR($K141*VLOOKUP($J141,食材表!$A:H,8,FALSE),0)+IFERROR($K142*VLOOKUP($J142,食材表!$A:H,8,FALSE),0)</f>
        <v>0</v>
      </c>
      <c r="R140" s="342">
        <f>IFERROR($I140*VLOOKUP($H140,食材表!$A:I,9,FALSE),0)+IFERROR($I141*VLOOKUP($H141,食材表!$A:I,9,FALSE),0)+IFERROR($I142*VLOOKUP($H142,食材表!$A:I,9,FALSE),0)+IFERROR($K140*VLOOKUP($J140,食材表!$A:I,9,FALSE),0)+IFERROR($K141*VLOOKUP($J141,食材表!$A:I,9,FALSE),0)+IFERROR($K142*VLOOKUP($J142,食材表!$A:I,9,FALSE),0)</f>
        <v>18.72</v>
      </c>
      <c r="S140" s="342">
        <f>SUM(L140*70+M140*75+N140*120+O140*25+P140*60+Q140*45+R140*4)</f>
        <v>235.04000000000002</v>
      </c>
    </row>
    <row r="141" spans="1:19">
      <c r="A141" s="33" t="str">
        <f>"2"&amp;+$B140</f>
        <v>2銅鑼燒</v>
      </c>
      <c r="B141" s="356"/>
      <c r="C141" s="31"/>
      <c r="D141" s="33"/>
      <c r="E141" s="31"/>
      <c r="F141" s="33"/>
      <c r="G141" s="353"/>
      <c r="H141" s="93">
        <f t="shared" ref="H141:H142" si="96">C141</f>
        <v>0</v>
      </c>
      <c r="I141" s="86" t="str">
        <f>IFERROR(IF(LEN(D141)=LENB(D141),ROUND(LEFT(D141,2*LEN(D141)-LENB(D141))/$A$1,3),((ROUND(LEFT(D141,2*LEN(D141)-LENB(D141))/$A$1,3))*VLOOKUP(H141,食材表!$A:$B,2,FALSE))),"")</f>
        <v/>
      </c>
      <c r="J141" s="93">
        <f t="shared" ref="J141:J142" si="97">E141</f>
        <v>0</v>
      </c>
      <c r="K141" s="86" t="str">
        <f>IFERROR(IF(LEN(F141)=LENB(F141),ROUND(LEFT(F141,2*LEN(F141)-LENB(F141))/$A$1,3),((ROUND(LEFT(F141,2*LEN(F141)-LENB(F141))/$A$1,3))*VLOOKUP(J141,食材表!$A:$B,2,FALSE))),"")</f>
        <v/>
      </c>
      <c r="L141" s="343"/>
      <c r="M141" s="343"/>
      <c r="N141" s="343"/>
      <c r="O141" s="343"/>
      <c r="P141" s="343"/>
      <c r="Q141" s="343"/>
      <c r="R141" s="343"/>
      <c r="S141" s="343"/>
    </row>
    <row r="142" spans="1:19">
      <c r="A142" s="33" t="str">
        <f>"3"&amp;+$B140</f>
        <v>3銅鑼燒</v>
      </c>
      <c r="B142" s="357"/>
      <c r="C142" s="28"/>
      <c r="D142" s="8"/>
      <c r="E142" s="28"/>
      <c r="F142" s="8"/>
      <c r="G142" s="354"/>
      <c r="H142" s="92">
        <f t="shared" si="96"/>
        <v>0</v>
      </c>
      <c r="I142" s="84" t="str">
        <f>IFERROR(IF(LEN(D142)=LENB(D142),ROUND(LEFT(D142,2*LEN(D142)-LENB(D142))/$A$1,3),((ROUND(LEFT(D142,2*LEN(D142)-LENB(D142))/$A$1,3))*VLOOKUP(H142,食材表!$A:$B,2,FALSE))),"")</f>
        <v/>
      </c>
      <c r="J142" s="92">
        <f t="shared" si="97"/>
        <v>0</v>
      </c>
      <c r="K142" s="85" t="str">
        <f>IFERROR(IF(LEN(F142)=LENB(F142),ROUND(LEFT(F142,2*LEN(F142)-LENB(F142))/$A$1,3),((ROUND(LEFT(F142,2*LEN(F142)-LENB(F142))/$A$1,3))*VLOOKUP(J142,食材表!$A:$B,2,FALSE))),"")</f>
        <v/>
      </c>
      <c r="L142" s="344"/>
      <c r="M142" s="344"/>
      <c r="N142" s="344"/>
      <c r="O142" s="344"/>
      <c r="P142" s="344"/>
      <c r="Q142" s="344"/>
      <c r="R142" s="344"/>
      <c r="S142" s="344"/>
    </row>
    <row r="143" spans="1:19">
      <c r="A143" s="33" t="str">
        <f>"1"&amp;+$B143</f>
        <v>1銅鑼燒+麥茶</v>
      </c>
      <c r="B143" s="355" t="s">
        <v>1128</v>
      </c>
      <c r="C143" s="55" t="s">
        <v>94</v>
      </c>
      <c r="D143" s="71" t="str">
        <f>$A$1+2&amp;+"個"</f>
        <v>52個</v>
      </c>
      <c r="E143" s="55"/>
      <c r="F143" s="33"/>
      <c r="G143" s="352" t="str">
        <f>B143</f>
        <v>銅鑼燒+麥茶</v>
      </c>
      <c r="H143" s="91" t="str">
        <f>C143</f>
        <v>銅鑼燒</v>
      </c>
      <c r="I143" s="83">
        <f>IFERROR(IF(LEN(D143)=LENB(D143),ROUND(LEFT(D143,2*LEN(D143)-LENB(D143))/$A$1,3),((ROUND(LEFT(D143,2*LEN(D143)-LENB(D143))/$A$1,3))*VLOOKUP(H143,食材表!$A:$B,2,FALSE))),"")</f>
        <v>1.04</v>
      </c>
      <c r="J143" s="91">
        <f>E143</f>
        <v>0</v>
      </c>
      <c r="K143" s="83" t="str">
        <f>IFERROR(IF(LEN(F143)=LENB(F143),ROUND(LEFT(F143,2*LEN(F143)-LENB(F143))/$A$1,3),((ROUND(LEFT(F143,2*LEN(F143)-LENB(F143))/$A$1,3))*VLOOKUP(J143,食材表!$A:$B,2,FALSE))),"")</f>
        <v/>
      </c>
      <c r="L143" s="342">
        <f>IFERROR($I143*VLOOKUP($H143,食材表!$A:C,3,FALSE),0)+IFERROR($I144*VLOOKUP($H144,食材表!$A:C,3,FALSE),0)+IFERROR($I145*VLOOKUP($H145,食材表!$A:C,3,FALSE),0)+IFERROR($K143*VLOOKUP($J143,食材表!$A:C,3,FALSE),0)+IFERROR($K144*VLOOKUP($J144,食材表!$A:C,3,FALSE),0)+IFERROR($K145*VLOOKUP($J145,食材表!$A:C,3,FALSE),0)</f>
        <v>2.2880000000000003</v>
      </c>
      <c r="M143" s="342">
        <f>IFERROR($I143*VLOOKUP($H143,食材表!$A:D,4,FALSE),0)+IFERROR($I144*VLOOKUP($H144,食材表!$A:D,4,FALSE),0)+IFERROR($I145*VLOOKUP($H145,食材表!$A:D,4,FALSE),0)+IFERROR($K143*VLOOKUP($J143,食材表!$A:D,4,FALSE),0)+IFERROR($K144*VLOOKUP($J144,食材表!$A:D,4,FALSE),0)+IFERROR($K145*VLOOKUP($J145,食材表!$A:D,4,FALSE),0)</f>
        <v>0</v>
      </c>
      <c r="N143" s="342">
        <f>IFERROR($I143*VLOOKUP($H143,食材表!$A:E,5,FALSE),0)+IFERROR($I144*VLOOKUP($H144,食材表!$A:E,5,FALSE),0)+IFERROR($I145*VLOOKUP($H145,食材表!$A:E,5,FALSE),0)+IFERROR($K143*VLOOKUP($J143,食材表!$A:E,5,FALSE),0)+IFERROR($K144*VLOOKUP($J144,食材表!$A:E,5,FALSE),0)+IFERROR($K145*VLOOKUP($J145,食材表!$A:E,5,FALSE),0)</f>
        <v>0</v>
      </c>
      <c r="O143" s="342">
        <f>IFERROR($I143*VLOOKUP($H143,食材表!$A:F,6,FALSE),0)+IFERROR($I144*VLOOKUP($H144,食材表!$A:F,6,FALSE),0)+IFERROR($I145*VLOOKUP($H145,食材表!$A:F,6,FALSE),0)+IFERROR($K143*VLOOKUP($J143,食材表!$A:F,6,FALSE),0)+IFERROR($K144*VLOOKUP($J144,食材表!$A:F,6,FALSE),0)+IFERROR($K145*VLOOKUP($J145,食材表!$A:F,6,FALSE),0)</f>
        <v>0</v>
      </c>
      <c r="P143" s="342">
        <f>IFERROR($I143*VLOOKUP($H143,食材表!$A:G,7,FALSE),0)+IFERROR($I144*VLOOKUP($H144,食材表!$A:G,7,FALSE),0)+IFERROR($I145*VLOOKUP($H145,食材表!$A:G,7,FALSE),0)+IFERROR($K143*VLOOKUP($J143,食材表!$A:G,7,FALSE),0)+IFERROR($K144*VLOOKUP($J144,食材表!$A:G,7,FALSE),0)+IFERROR($K145*VLOOKUP($J145,食材表!$A:G,7,FALSE),0)</f>
        <v>0</v>
      </c>
      <c r="Q143" s="342">
        <f>IFERROR($I143*VLOOKUP($H143,食材表!$A:H,8,FALSE),0)+IFERROR($I144*VLOOKUP($H144,食材表!$A:H,8,FALSE),0)+IFERROR($I145*VLOOKUP($H145,食材表!$A:H,8,FALSE),0)+IFERROR($K143*VLOOKUP($J143,食材表!$A:H,8,FALSE),0)+IFERROR($K144*VLOOKUP($J144,食材表!$A:H,8,FALSE),0)+IFERROR($K145*VLOOKUP($J145,食材表!$A:H,8,FALSE),0)</f>
        <v>0</v>
      </c>
      <c r="R143" s="342">
        <f>IFERROR($I143*VLOOKUP($H143,食材表!$A:I,9,FALSE),0)+IFERROR($I144*VLOOKUP($H144,食材表!$A:I,9,FALSE),0)+IFERROR($I145*VLOOKUP($H145,食材表!$A:I,9,FALSE),0)+IFERROR($K143*VLOOKUP($J143,食材表!$A:I,9,FALSE),0)+IFERROR($K144*VLOOKUP($J144,食材表!$A:I,9,FALSE),0)+IFERROR($K145*VLOOKUP($J145,食材表!$A:I,9,FALSE),0)</f>
        <v>18.72</v>
      </c>
      <c r="S143" s="342">
        <f>SUM(L143*70+M143*75+N143*120+O143*25+P143*60+Q143*45+R143*4)</f>
        <v>235.04000000000002</v>
      </c>
    </row>
    <row r="144" spans="1:19">
      <c r="A144" s="33" t="str">
        <f>"2"&amp;+$B143</f>
        <v>2銅鑼燒+麥茶</v>
      </c>
      <c r="B144" s="356"/>
      <c r="C144" s="31" t="s">
        <v>416</v>
      </c>
      <c r="D144" s="33" t="s">
        <v>203</v>
      </c>
      <c r="E144" s="31"/>
      <c r="F144" s="33"/>
      <c r="G144" s="353"/>
      <c r="H144" s="93" t="str">
        <f t="shared" ref="H144:H145" si="98">C144</f>
        <v>麥茶包</v>
      </c>
      <c r="I144" s="86">
        <f>IFERROR(IF(LEN(D144)=LENB(D144),ROUND(LEFT(D144,2*LEN(D144)-LENB(D144))/$A$1,3),((ROUND(LEFT(D144,2*LEN(D144)-LENB(D144))/$A$1,3))*VLOOKUP(H144,食材表!$A:$B,2,FALSE))),"")</f>
        <v>6.0000000000000001E-3</v>
      </c>
      <c r="J144" s="93">
        <f t="shared" ref="J144:J145" si="99">E144</f>
        <v>0</v>
      </c>
      <c r="K144" s="86" t="str">
        <f>IFERROR(IF(LEN(F144)=LENB(F144),ROUND(LEFT(F144,2*LEN(F144)-LENB(F144))/$A$1,3),((ROUND(LEFT(F144,2*LEN(F144)-LENB(F144))/$A$1,3))*VLOOKUP(J144,食材表!$A:$B,2,FALSE))),"")</f>
        <v/>
      </c>
      <c r="L144" s="343"/>
      <c r="M144" s="343"/>
      <c r="N144" s="343"/>
      <c r="O144" s="343"/>
      <c r="P144" s="343"/>
      <c r="Q144" s="343"/>
      <c r="R144" s="343"/>
      <c r="S144" s="343"/>
    </row>
    <row r="145" spans="1:19">
      <c r="A145" s="33" t="str">
        <f>"3"&amp;+$B143</f>
        <v>3銅鑼燒+麥茶</v>
      </c>
      <c r="B145" s="357"/>
      <c r="C145" s="28"/>
      <c r="D145" s="8"/>
      <c r="E145" s="28"/>
      <c r="F145" s="8"/>
      <c r="G145" s="354"/>
      <c r="H145" s="92">
        <f t="shared" si="98"/>
        <v>0</v>
      </c>
      <c r="I145" s="84" t="str">
        <f>IFERROR(IF(LEN(D145)=LENB(D145),ROUND(LEFT(D145,2*LEN(D145)-LENB(D145))/$A$1,3),((ROUND(LEFT(D145,2*LEN(D145)-LENB(D145))/$A$1,3))*VLOOKUP(H145,食材表!$A:$B,2,FALSE))),"")</f>
        <v/>
      </c>
      <c r="J145" s="92">
        <f t="shared" si="99"/>
        <v>0</v>
      </c>
      <c r="K145" s="85" t="str">
        <f>IFERROR(IF(LEN(F145)=LENB(F145),ROUND(LEFT(F145,2*LEN(F145)-LENB(F145))/$A$1,3),((ROUND(LEFT(F145,2*LEN(F145)-LENB(F145))/$A$1,3))*VLOOKUP(J145,食材表!$A:$B,2,FALSE))),"")</f>
        <v/>
      </c>
      <c r="L145" s="344"/>
      <c r="M145" s="344"/>
      <c r="N145" s="344"/>
      <c r="O145" s="344"/>
      <c r="P145" s="344"/>
      <c r="Q145" s="344"/>
      <c r="R145" s="344"/>
      <c r="S145" s="344"/>
    </row>
    <row r="146" spans="1:19">
      <c r="A146" s="33" t="str">
        <f>"1"&amp;+$B146</f>
        <v>1杯子蛋糕</v>
      </c>
      <c r="B146" s="355" t="s">
        <v>400</v>
      </c>
      <c r="C146" s="55" t="s">
        <v>400</v>
      </c>
      <c r="D146" s="71" t="str">
        <f>$A$1+2&amp;+"個"</f>
        <v>52個</v>
      </c>
      <c r="E146" s="55"/>
      <c r="F146" s="33"/>
      <c r="G146" s="352" t="str">
        <f>B146</f>
        <v>杯子蛋糕</v>
      </c>
      <c r="H146" s="91" t="str">
        <f>C146</f>
        <v>杯子蛋糕</v>
      </c>
      <c r="I146" s="83">
        <f>IFERROR(IF(LEN(D146)=LENB(D146),ROUND(LEFT(D146,2*LEN(D146)-LENB(D146))/$A$1,3),((ROUND(LEFT(D146,2*LEN(D146)-LENB(D146))/$A$1,3))*VLOOKUP(H146,食材表!$A:$B,2,FALSE))),"")</f>
        <v>1.04</v>
      </c>
      <c r="J146" s="91">
        <f>E146</f>
        <v>0</v>
      </c>
      <c r="K146" s="83" t="str">
        <f>IFERROR(IF(LEN(F146)=LENB(F146),ROUND(LEFT(F146,2*LEN(F146)-LENB(F146))/$A$1,3),((ROUND(LEFT(F146,2*LEN(F146)-LENB(F146))/$A$1,3))*VLOOKUP(J146,食材表!$A:$B,2,FALSE))),"")</f>
        <v/>
      </c>
      <c r="L146" s="342">
        <f>IFERROR($I146*VLOOKUP($H146,食材表!$A:C,3,FALSE),0)+IFERROR($I147*VLOOKUP($H147,食材表!$A:C,3,FALSE),0)+IFERROR($I148*VLOOKUP($H148,食材表!$A:C,3,FALSE),0)+IFERROR($K146*VLOOKUP($J146,食材表!$A:C,3,FALSE),0)+IFERROR($K147*VLOOKUP($J147,食材表!$A:C,3,FALSE),0)+IFERROR($K148*VLOOKUP($J148,食材表!$A:C,3,FALSE),0)</f>
        <v>0.83200000000000007</v>
      </c>
      <c r="M146" s="342">
        <f>IFERROR($I146*VLOOKUP($H146,食材表!$A:D,4,FALSE),0)+IFERROR($I147*VLOOKUP($H147,食材表!$A:D,4,FALSE),0)+IFERROR($I148*VLOOKUP($H148,食材表!$A:D,4,FALSE),0)+IFERROR($K146*VLOOKUP($J146,食材表!$A:D,4,FALSE),0)+IFERROR($K147*VLOOKUP($J147,食材表!$A:D,4,FALSE),0)+IFERROR($K148*VLOOKUP($J148,食材表!$A:D,4,FALSE),0)</f>
        <v>0</v>
      </c>
      <c r="N146" s="342">
        <f>IFERROR($I146*VLOOKUP($H146,食材表!$A:E,5,FALSE),0)+IFERROR($I147*VLOOKUP($H147,食材表!$A:E,5,FALSE),0)+IFERROR($I148*VLOOKUP($H148,食材表!$A:E,5,FALSE),0)+IFERROR($K146*VLOOKUP($J146,食材表!$A:E,5,FALSE),0)+IFERROR($K147*VLOOKUP($J147,食材表!$A:E,5,FALSE),0)+IFERROR($K148*VLOOKUP($J148,食材表!$A:E,5,FALSE),0)</f>
        <v>0</v>
      </c>
      <c r="O146" s="342">
        <f>IFERROR($I146*VLOOKUP($H146,食材表!$A:F,6,FALSE),0)+IFERROR($I147*VLOOKUP($H147,食材表!$A:F,6,FALSE),0)+IFERROR($I148*VLOOKUP($H148,食材表!$A:F,6,FALSE),0)+IFERROR($K146*VLOOKUP($J146,食材表!$A:F,6,FALSE),0)+IFERROR($K147*VLOOKUP($J147,食材表!$A:F,6,FALSE),0)+IFERROR($K148*VLOOKUP($J148,食材表!$A:F,6,FALSE),0)</f>
        <v>0</v>
      </c>
      <c r="P146" s="342">
        <f>IFERROR($I146*VLOOKUP($H146,食材表!$A:G,7,FALSE),0)+IFERROR($I147*VLOOKUP($H147,食材表!$A:G,7,FALSE),0)+IFERROR($I148*VLOOKUP($H148,食材表!$A:G,7,FALSE),0)+IFERROR($K146*VLOOKUP($J146,食材表!$A:G,7,FALSE),0)+IFERROR($K147*VLOOKUP($J147,食材表!$A:G,7,FALSE),0)+IFERROR($K148*VLOOKUP($J148,食材表!$A:G,7,FALSE),0)</f>
        <v>0</v>
      </c>
      <c r="Q146" s="342">
        <f>IFERROR($I146*VLOOKUP($H146,食材表!$A:H,8,FALSE),0)+IFERROR($I147*VLOOKUP($H147,食材表!$A:H,8,FALSE),0)+IFERROR($I148*VLOOKUP($H148,食材表!$A:H,8,FALSE),0)+IFERROR($K146*VLOOKUP($J146,食材表!$A:H,8,FALSE),0)+IFERROR($K147*VLOOKUP($J147,食材表!$A:H,8,FALSE),0)+IFERROR($K148*VLOOKUP($J148,食材表!$A:H,8,FALSE),0)</f>
        <v>0.93600000000000005</v>
      </c>
      <c r="R146" s="342">
        <f>IFERROR($I146*VLOOKUP($H146,食材表!$A:I,9,FALSE),0)+IFERROR($I147*VLOOKUP($H147,食材表!$A:I,9,FALSE),0)+IFERROR($I148*VLOOKUP($H148,食材表!$A:I,9,FALSE),0)+IFERROR($K146*VLOOKUP($J146,食材表!$A:I,9,FALSE),0)+IFERROR($K147*VLOOKUP($J147,食材表!$A:I,9,FALSE),0)+IFERROR($K148*VLOOKUP($J148,食材表!$A:I,9,FALSE),0)</f>
        <v>10.4</v>
      </c>
      <c r="S146" s="342">
        <f>SUM(L146*70+M146*75+N146*120+O146*25+P146*60+Q146*45+R146*4)</f>
        <v>141.96</v>
      </c>
    </row>
    <row r="147" spans="1:19">
      <c r="A147" s="33" t="str">
        <f>"2"&amp;+$B146</f>
        <v>2杯子蛋糕</v>
      </c>
      <c r="B147" s="356"/>
      <c r="C147" s="31"/>
      <c r="D147" s="33"/>
      <c r="E147" s="31"/>
      <c r="F147" s="33"/>
      <c r="G147" s="353"/>
      <c r="H147" s="93">
        <f t="shared" ref="H147:H148" si="100">C147</f>
        <v>0</v>
      </c>
      <c r="I147" s="86" t="str">
        <f>IFERROR(IF(LEN(D147)=LENB(D147),ROUND(LEFT(D147,2*LEN(D147)-LENB(D147))/$A$1,3),((ROUND(LEFT(D147,2*LEN(D147)-LENB(D147))/$A$1,3))*VLOOKUP(H147,食材表!$A:$B,2,FALSE))),"")</f>
        <v/>
      </c>
      <c r="J147" s="93">
        <f t="shared" ref="J147:J148" si="101">E147</f>
        <v>0</v>
      </c>
      <c r="K147" s="86" t="str">
        <f>IFERROR(IF(LEN(F147)=LENB(F147),ROUND(LEFT(F147,2*LEN(F147)-LENB(F147))/$A$1,3),((ROUND(LEFT(F147,2*LEN(F147)-LENB(F147))/$A$1,3))*VLOOKUP(J147,食材表!$A:$B,2,FALSE))),"")</f>
        <v/>
      </c>
      <c r="L147" s="343"/>
      <c r="M147" s="343"/>
      <c r="N147" s="343"/>
      <c r="O147" s="343"/>
      <c r="P147" s="343"/>
      <c r="Q147" s="343"/>
      <c r="R147" s="343"/>
      <c r="S147" s="343"/>
    </row>
    <row r="148" spans="1:19">
      <c r="A148" s="33" t="str">
        <f>"3"&amp;+$B146</f>
        <v>3杯子蛋糕</v>
      </c>
      <c r="B148" s="357"/>
      <c r="C148" s="28"/>
      <c r="D148" s="8"/>
      <c r="E148" s="28"/>
      <c r="F148" s="8"/>
      <c r="G148" s="354"/>
      <c r="H148" s="92">
        <f t="shared" si="100"/>
        <v>0</v>
      </c>
      <c r="I148" s="84" t="str">
        <f>IFERROR(IF(LEN(D148)=LENB(D148),ROUND(LEFT(D148,2*LEN(D148)-LENB(D148))/$A$1,3),((ROUND(LEFT(D148,2*LEN(D148)-LENB(D148))/$A$1,3))*VLOOKUP(H148,食材表!$A:$B,2,FALSE))),"")</f>
        <v/>
      </c>
      <c r="J148" s="92">
        <f t="shared" si="101"/>
        <v>0</v>
      </c>
      <c r="K148" s="85" t="str">
        <f>IFERROR(IF(LEN(F148)=LENB(F148),ROUND(LEFT(F148,2*LEN(F148)-LENB(F148))/$A$1,3),((ROUND(LEFT(F148,2*LEN(F148)-LENB(F148))/$A$1,3))*VLOOKUP(J148,食材表!$A:$B,2,FALSE))),"")</f>
        <v/>
      </c>
      <c r="L148" s="344"/>
      <c r="M148" s="344"/>
      <c r="N148" s="344"/>
      <c r="O148" s="344"/>
      <c r="P148" s="344"/>
      <c r="Q148" s="344"/>
      <c r="R148" s="344"/>
      <c r="S148" s="344"/>
    </row>
    <row r="149" spans="1:19">
      <c r="A149" s="33" t="str">
        <f>"1"&amp;+$B149</f>
        <v>1杯子蛋糕+陳皮茶</v>
      </c>
      <c r="B149" s="355" t="s">
        <v>1193</v>
      </c>
      <c r="C149" s="55" t="s">
        <v>400</v>
      </c>
      <c r="D149" s="71" t="str">
        <f>$A$1+2&amp;+"個"</f>
        <v>52個</v>
      </c>
      <c r="E149" s="55"/>
      <c r="F149" s="33"/>
      <c r="G149" s="352" t="str">
        <f>B149</f>
        <v>杯子蛋糕+陳皮茶</v>
      </c>
      <c r="H149" s="91" t="str">
        <f>C149</f>
        <v>杯子蛋糕</v>
      </c>
      <c r="I149" s="83">
        <f>IFERROR(IF(LEN(D149)=LENB(D149),ROUND(LEFT(D149,2*LEN(D149)-LENB(D149))/$A$1,3),((ROUND(LEFT(D149,2*LEN(D149)-LENB(D149))/$A$1,3))*VLOOKUP(H149,食材表!$A:$B,2,FALSE))),"")</f>
        <v>1.04</v>
      </c>
      <c r="J149" s="91">
        <f>E149</f>
        <v>0</v>
      </c>
      <c r="K149" s="83" t="str">
        <f>IFERROR(IF(LEN(F149)=LENB(F149),ROUND(LEFT(F149,2*LEN(F149)-LENB(F149))/$A$1,3),((ROUND(LEFT(F149,2*LEN(F149)-LENB(F149))/$A$1,3))*VLOOKUP(J149,食材表!$A:$B,2,FALSE))),"")</f>
        <v/>
      </c>
      <c r="L149" s="342">
        <f>IFERROR($I149*VLOOKUP($H149,食材表!$A:C,3,FALSE),0)+IFERROR($I150*VLOOKUP($H150,食材表!$A:C,3,FALSE),0)+IFERROR($I151*VLOOKUP($H151,食材表!$A:C,3,FALSE),0)+IFERROR($K149*VLOOKUP($J149,食材表!$A:C,3,FALSE),0)+IFERROR($K150*VLOOKUP($J150,食材表!$A:C,3,FALSE),0)+IFERROR($K151*VLOOKUP($J151,食材表!$A:C,3,FALSE),0)</f>
        <v>0.83200000000000007</v>
      </c>
      <c r="M149" s="342">
        <f>IFERROR($I149*VLOOKUP($H149,食材表!$A:D,4,FALSE),0)+IFERROR($I150*VLOOKUP($H150,食材表!$A:D,4,FALSE),0)+IFERROR($I151*VLOOKUP($H151,食材表!$A:D,4,FALSE),0)+IFERROR($K149*VLOOKUP($J149,食材表!$A:D,4,FALSE),0)+IFERROR($K150*VLOOKUP($J150,食材表!$A:D,4,FALSE),0)+IFERROR($K151*VLOOKUP($J151,食材表!$A:D,4,FALSE),0)</f>
        <v>0</v>
      </c>
      <c r="N149" s="342">
        <f>IFERROR($I149*VLOOKUP($H149,食材表!$A:E,5,FALSE),0)+IFERROR($I150*VLOOKUP($H150,食材表!$A:E,5,FALSE),0)+IFERROR($I151*VLOOKUP($H151,食材表!$A:E,5,FALSE),0)+IFERROR($K149*VLOOKUP($J149,食材表!$A:E,5,FALSE),0)+IFERROR($K150*VLOOKUP($J150,食材表!$A:E,5,FALSE),0)+IFERROR($K151*VLOOKUP($J151,食材表!$A:E,5,FALSE),0)</f>
        <v>0</v>
      </c>
      <c r="O149" s="342">
        <f>IFERROR($I149*VLOOKUP($H149,食材表!$A:F,6,FALSE),0)+IFERROR($I150*VLOOKUP($H150,食材表!$A:F,6,FALSE),0)+IFERROR($I151*VLOOKUP($H151,食材表!$A:F,6,FALSE),0)+IFERROR($K149*VLOOKUP($J149,食材表!$A:F,6,FALSE),0)+IFERROR($K150*VLOOKUP($J150,食材表!$A:F,6,FALSE),0)+IFERROR($K151*VLOOKUP($J151,食材表!$A:F,6,FALSE),0)</f>
        <v>0</v>
      </c>
      <c r="P149" s="342">
        <f>IFERROR($I149*VLOOKUP($H149,食材表!$A:G,7,FALSE),0)+IFERROR($I150*VLOOKUP($H150,食材表!$A:G,7,FALSE),0)+IFERROR($I151*VLOOKUP($H151,食材表!$A:G,7,FALSE),0)+IFERROR($K149*VLOOKUP($J149,食材表!$A:G,7,FALSE),0)+IFERROR($K150*VLOOKUP($J150,食材表!$A:G,7,FALSE),0)+IFERROR($K151*VLOOKUP($J151,食材表!$A:G,7,FALSE),0)</f>
        <v>0</v>
      </c>
      <c r="Q149" s="342">
        <f>IFERROR($I149*VLOOKUP($H149,食材表!$A:H,8,FALSE),0)+IFERROR($I150*VLOOKUP($H150,食材表!$A:H,8,FALSE),0)+IFERROR($I151*VLOOKUP($H151,食材表!$A:H,8,FALSE),0)+IFERROR($K149*VLOOKUP($J149,食材表!$A:H,8,FALSE),0)+IFERROR($K150*VLOOKUP($J150,食材表!$A:H,8,FALSE),0)+IFERROR($K151*VLOOKUP($J151,食材表!$A:H,8,FALSE),0)</f>
        <v>0.93600000000000005</v>
      </c>
      <c r="R149" s="342">
        <f>IFERROR($I149*VLOOKUP($H149,食材表!$A:I,9,FALSE),0)+IFERROR($I150*VLOOKUP($H150,食材表!$A:I,9,FALSE),0)+IFERROR($I151*VLOOKUP($H151,食材表!$A:I,9,FALSE),0)+IFERROR($K149*VLOOKUP($J149,食材表!$A:I,9,FALSE),0)+IFERROR($K150*VLOOKUP($J150,食材表!$A:I,9,FALSE),0)+IFERROR($K151*VLOOKUP($J151,食材表!$A:I,9,FALSE),0)</f>
        <v>10.4</v>
      </c>
      <c r="S149" s="342">
        <f>SUM(L149*70+M149*75+N149*120+O149*25+P149*60+Q149*45+R149*4)</f>
        <v>141.96</v>
      </c>
    </row>
    <row r="150" spans="1:19">
      <c r="A150" s="33" t="str">
        <f>"2"&amp;+$B149</f>
        <v>2杯子蛋糕+陳皮茶</v>
      </c>
      <c r="B150" s="356"/>
      <c r="C150" s="31" t="s">
        <v>1194</v>
      </c>
      <c r="D150" s="33" t="s">
        <v>203</v>
      </c>
      <c r="E150" s="31"/>
      <c r="F150" s="33"/>
      <c r="G150" s="353"/>
      <c r="H150" s="93" t="str">
        <f t="shared" ref="H150:H151" si="102">C150</f>
        <v>陳皮茶</v>
      </c>
      <c r="I150" s="86" t="str">
        <f>IFERROR(IF(LEN(D150)=LENB(D150),ROUND(LEFT(D150,2*LEN(D150)-LENB(D150))/$A$1,3),((ROUND(LEFT(D150,2*LEN(D150)-LENB(D150))/$A$1,3))*VLOOKUP(H150,食材表!$A:$B,2,FALSE))),"")</f>
        <v/>
      </c>
      <c r="J150" s="93">
        <f t="shared" ref="J150:J151" si="103">E150</f>
        <v>0</v>
      </c>
      <c r="K150" s="86" t="str">
        <f>IFERROR(IF(LEN(F150)=LENB(F150),ROUND(LEFT(F150,2*LEN(F150)-LENB(F150))/$A$1,3),((ROUND(LEFT(F150,2*LEN(F150)-LENB(F150))/$A$1,3))*VLOOKUP(J150,食材表!$A:$B,2,FALSE))),"")</f>
        <v/>
      </c>
      <c r="L150" s="343"/>
      <c r="M150" s="343"/>
      <c r="N150" s="343"/>
      <c r="O150" s="343"/>
      <c r="P150" s="343"/>
      <c r="Q150" s="343"/>
      <c r="R150" s="343"/>
      <c r="S150" s="343"/>
    </row>
    <row r="151" spans="1:19">
      <c r="A151" s="33" t="str">
        <f>"3"&amp;+$B149</f>
        <v>3杯子蛋糕+陳皮茶</v>
      </c>
      <c r="B151" s="357"/>
      <c r="C151" s="28"/>
      <c r="D151" s="8"/>
      <c r="E151" s="28"/>
      <c r="F151" s="8"/>
      <c r="G151" s="354"/>
      <c r="H151" s="92">
        <f t="shared" si="102"/>
        <v>0</v>
      </c>
      <c r="I151" s="84" t="str">
        <f>IFERROR(IF(LEN(D151)=LENB(D151),ROUND(LEFT(D151,2*LEN(D151)-LENB(D151))/$A$1,3),((ROUND(LEFT(D151,2*LEN(D151)-LENB(D151))/$A$1,3))*VLOOKUP(H151,食材表!$A:$B,2,FALSE))),"")</f>
        <v/>
      </c>
      <c r="J151" s="92">
        <f t="shared" si="103"/>
        <v>0</v>
      </c>
      <c r="K151" s="85" t="str">
        <f>IFERROR(IF(LEN(F151)=LENB(F151),ROUND(LEFT(F151,2*LEN(F151)-LENB(F151))/$A$1,3),((ROUND(LEFT(F151,2*LEN(F151)-LENB(F151))/$A$1,3))*VLOOKUP(J151,食材表!$A:$B,2,FALSE))),"")</f>
        <v/>
      </c>
      <c r="L151" s="344"/>
      <c r="M151" s="344"/>
      <c r="N151" s="344"/>
      <c r="O151" s="344"/>
      <c r="P151" s="344"/>
      <c r="Q151" s="344"/>
      <c r="R151" s="344"/>
      <c r="S151" s="344"/>
    </row>
    <row r="152" spans="1:19">
      <c r="A152" s="33" t="str">
        <f>"1"&amp;+$B152</f>
        <v>1糯米腸</v>
      </c>
      <c r="B152" s="355" t="s">
        <v>1025</v>
      </c>
      <c r="C152" s="55" t="s">
        <v>1025</v>
      </c>
      <c r="D152" s="71" t="str">
        <f>$A$1+2&amp;+"根"</f>
        <v>52根</v>
      </c>
      <c r="E152" s="55"/>
      <c r="F152" s="33"/>
      <c r="G152" s="352" t="str">
        <f>B152</f>
        <v>糯米腸</v>
      </c>
      <c r="H152" s="91" t="str">
        <f>C152</f>
        <v>糯米腸</v>
      </c>
      <c r="I152" s="83" t="str">
        <f>IFERROR(IF(LEN(D152)=LENB(D152),ROUND(LEFT(D152,2*LEN(D152)-LENB(D152))/$A$1,3),((ROUND(LEFT(D152,2*LEN(D152)-LENB(D152))/$A$1,3))*VLOOKUP(H152,食材表!$A:$B,2,FALSE))),"")</f>
        <v/>
      </c>
      <c r="J152" s="91">
        <f>E152</f>
        <v>0</v>
      </c>
      <c r="K152" s="83" t="str">
        <f>IFERROR(IF(LEN(F152)=LENB(F152),ROUND(LEFT(F152,2*LEN(F152)-LENB(F152))/$A$1,3),((ROUND(LEFT(F152,2*LEN(F152)-LENB(F152))/$A$1,3))*VLOOKUP(J152,食材表!$A:$B,2,FALSE))),"")</f>
        <v/>
      </c>
      <c r="L152" s="342">
        <f>IFERROR($I152*VLOOKUP($H152,食材表!$A:C,3,FALSE),0)+IFERROR($I153*VLOOKUP($H153,食材表!$A:C,3,FALSE),0)+IFERROR($I154*VLOOKUP($H154,食材表!$A:C,3,FALSE),0)+IFERROR($K152*VLOOKUP($J152,食材表!$A:C,3,FALSE),0)+IFERROR($K153*VLOOKUP($J153,食材表!$A:C,3,FALSE),0)+IFERROR($K154*VLOOKUP($J154,食材表!$A:C,3,FALSE),0)</f>
        <v>0</v>
      </c>
      <c r="M152" s="342">
        <f>IFERROR($I152*VLOOKUP($H152,食材表!$A:D,4,FALSE),0)+IFERROR($I153*VLOOKUP($H153,食材表!$A:D,4,FALSE),0)+IFERROR($I154*VLOOKUP($H154,食材表!$A:D,4,FALSE),0)+IFERROR($K152*VLOOKUP($J152,食材表!$A:D,4,FALSE),0)+IFERROR($K153*VLOOKUP($J153,食材表!$A:D,4,FALSE),0)+IFERROR($K154*VLOOKUP($J154,食材表!$A:D,4,FALSE),0)</f>
        <v>0</v>
      </c>
      <c r="N152" s="342">
        <f>IFERROR($I152*VLOOKUP($H152,食材表!$A:E,5,FALSE),0)+IFERROR($I153*VLOOKUP($H153,食材表!$A:E,5,FALSE),0)+IFERROR($I154*VLOOKUP($H154,食材表!$A:E,5,FALSE),0)+IFERROR($K152*VLOOKUP($J152,食材表!$A:E,5,FALSE),0)+IFERROR($K153*VLOOKUP($J153,食材表!$A:E,5,FALSE),0)+IFERROR($K154*VLOOKUP($J154,食材表!$A:E,5,FALSE),0)</f>
        <v>0</v>
      </c>
      <c r="O152" s="342">
        <f>IFERROR($I152*VLOOKUP($H152,食材表!$A:F,6,FALSE),0)+IFERROR($I153*VLOOKUP($H153,食材表!$A:F,6,FALSE),0)+IFERROR($I154*VLOOKUP($H154,食材表!$A:F,6,FALSE),0)+IFERROR($K152*VLOOKUP($J152,食材表!$A:F,6,FALSE),0)+IFERROR($K153*VLOOKUP($J153,食材表!$A:F,6,FALSE),0)+IFERROR($K154*VLOOKUP($J154,食材表!$A:F,6,FALSE),0)</f>
        <v>0</v>
      </c>
      <c r="P152" s="342">
        <f>IFERROR($I152*VLOOKUP($H152,食材表!$A:G,7,FALSE),0)+IFERROR($I153*VLOOKUP($H153,食材表!$A:G,7,FALSE),0)+IFERROR($I154*VLOOKUP($H154,食材表!$A:G,7,FALSE),0)+IFERROR($K152*VLOOKUP($J152,食材表!$A:G,7,FALSE),0)+IFERROR($K153*VLOOKUP($J153,食材表!$A:G,7,FALSE),0)+IFERROR($K154*VLOOKUP($J154,食材表!$A:G,7,FALSE),0)</f>
        <v>0</v>
      </c>
      <c r="Q152" s="342">
        <f>IFERROR($I152*VLOOKUP($H152,食材表!$A:H,8,FALSE),0)+IFERROR($I153*VLOOKUP($H153,食材表!$A:H,8,FALSE),0)+IFERROR($I154*VLOOKUP($H154,食材表!$A:H,8,FALSE),0)+IFERROR($K152*VLOOKUP($J152,食材表!$A:H,8,FALSE),0)+IFERROR($K153*VLOOKUP($J153,食材表!$A:H,8,FALSE),0)+IFERROR($K154*VLOOKUP($J154,食材表!$A:H,8,FALSE),0)</f>
        <v>0</v>
      </c>
      <c r="R152" s="342">
        <f>IFERROR($I152*VLOOKUP($H152,食材表!$A:I,9,FALSE),0)+IFERROR($I153*VLOOKUP($H153,食材表!$A:I,9,FALSE),0)+IFERROR($I154*VLOOKUP($H154,食材表!$A:I,9,FALSE),0)+IFERROR($K152*VLOOKUP($J152,食材表!$A:I,9,FALSE),0)+IFERROR($K153*VLOOKUP($J153,食材表!$A:I,9,FALSE),0)+IFERROR($K154*VLOOKUP($J154,食材表!$A:I,9,FALSE),0)</f>
        <v>0</v>
      </c>
      <c r="S152" s="342">
        <f>SUM(L152*70+M152*75+N152*120+O152*25+P152*60+Q152*45+R152*4)</f>
        <v>0</v>
      </c>
    </row>
    <row r="153" spans="1:19">
      <c r="A153" s="33" t="str">
        <f>"2"&amp;+$B152</f>
        <v>2糯米腸</v>
      </c>
      <c r="B153" s="356"/>
      <c r="C153" s="31"/>
      <c r="D153" s="33"/>
      <c r="E153" s="31"/>
      <c r="F153" s="33"/>
      <c r="G153" s="353"/>
      <c r="H153" s="93">
        <f t="shared" ref="H153:H154" si="104">C153</f>
        <v>0</v>
      </c>
      <c r="I153" s="86" t="str">
        <f>IFERROR(IF(LEN(D153)=LENB(D153),ROUND(LEFT(D153,2*LEN(D153)-LENB(D153))/$A$1,3),((ROUND(LEFT(D153,2*LEN(D153)-LENB(D153))/$A$1,3))*VLOOKUP(H153,食材表!$A:$B,2,FALSE))),"")</f>
        <v/>
      </c>
      <c r="J153" s="93">
        <f t="shared" ref="J153:J154" si="105">E153</f>
        <v>0</v>
      </c>
      <c r="K153" s="86" t="str">
        <f>IFERROR(IF(LEN(F153)=LENB(F153),ROUND(LEFT(F153,2*LEN(F153)-LENB(F153))/$A$1,3),((ROUND(LEFT(F153,2*LEN(F153)-LENB(F153))/$A$1,3))*VLOOKUP(J153,食材表!$A:$B,2,FALSE))),"")</f>
        <v/>
      </c>
      <c r="L153" s="343"/>
      <c r="M153" s="343"/>
      <c r="N153" s="343"/>
      <c r="O153" s="343"/>
      <c r="P153" s="343"/>
      <c r="Q153" s="343"/>
      <c r="R153" s="343"/>
      <c r="S153" s="343"/>
    </row>
    <row r="154" spans="1:19">
      <c r="A154" s="33" t="str">
        <f>"3"&amp;+$B152</f>
        <v>3糯米腸</v>
      </c>
      <c r="B154" s="357"/>
      <c r="C154" s="28"/>
      <c r="D154" s="8"/>
      <c r="E154" s="28"/>
      <c r="F154" s="8"/>
      <c r="G154" s="354"/>
      <c r="H154" s="92">
        <f t="shared" si="104"/>
        <v>0</v>
      </c>
      <c r="I154" s="84" t="str">
        <f>IFERROR(IF(LEN(D154)=LENB(D154),ROUND(LEFT(D154,2*LEN(D154)-LENB(D154))/$A$1,3),((ROUND(LEFT(D154,2*LEN(D154)-LENB(D154))/$A$1,3))*VLOOKUP(H154,食材表!$A:$B,2,FALSE))),"")</f>
        <v/>
      </c>
      <c r="J154" s="92">
        <f t="shared" si="105"/>
        <v>0</v>
      </c>
      <c r="K154" s="85" t="str">
        <f>IFERROR(IF(LEN(F154)=LENB(F154),ROUND(LEFT(F154,2*LEN(F154)-LENB(F154))/$A$1,3),((ROUND(LEFT(F154,2*LEN(F154)-LENB(F154))/$A$1,3))*VLOOKUP(J154,食材表!$A:$B,2,FALSE))),"")</f>
        <v/>
      </c>
      <c r="L154" s="344"/>
      <c r="M154" s="344"/>
      <c r="N154" s="344"/>
      <c r="O154" s="344"/>
      <c r="P154" s="344"/>
      <c r="Q154" s="344"/>
      <c r="R154" s="344"/>
      <c r="S154" s="344"/>
    </row>
    <row r="155" spans="1:19">
      <c r="A155" s="33" t="str">
        <f>"1"&amp;+$B155</f>
        <v>1餛飩湯</v>
      </c>
      <c r="B155" s="377" t="s">
        <v>988</v>
      </c>
      <c r="C155" s="55" t="s">
        <v>287</v>
      </c>
      <c r="D155" s="71" t="str">
        <f>($A$1+2)*2&amp;+"個"</f>
        <v>104個</v>
      </c>
      <c r="E155" s="58" t="s">
        <v>285</v>
      </c>
      <c r="F155" s="56" t="s">
        <v>238</v>
      </c>
      <c r="G155" s="352" t="str">
        <f>B155</f>
        <v>餛飩湯</v>
      </c>
      <c r="H155" s="91" t="str">
        <f>C155</f>
        <v>餛飩</v>
      </c>
      <c r="I155" s="83">
        <f>IFERROR(IF(LEN(D155)=LENB(D155),ROUND(LEFT(D155,2*LEN(D155)-LENB(D155))/$A$1,3),((ROUND(LEFT(D155,2*LEN(D155)-LENB(D155))/$A$1,3))*VLOOKUP(H155,食材表!$A:$B,2,FALSE))),"")</f>
        <v>2.08</v>
      </c>
      <c r="J155" s="91" t="str">
        <f>E155</f>
        <v>油蔥酥</v>
      </c>
      <c r="K155" s="83">
        <f>IFERROR(IF(LEN(F155)=LENB(F155),ROUND(LEFT(F155,2*LEN(F155)-LENB(F155))/$A$1,3),((ROUND(LEFT(F155,2*LEN(F155)-LENB(F155))/$A$1,3))*VLOOKUP(J155,食材表!$A:$B,2,FALSE))),"")</f>
        <v>3.0000000000000001E-3</v>
      </c>
      <c r="L155" s="342">
        <f>IFERROR($I155*VLOOKUP($H155,食材表!$A:C,3,FALSE),0)+IFERROR($I156*VLOOKUP($H156,食材表!$A:C,3,FALSE),0)+IFERROR($I157*VLOOKUP($H157,食材表!$A:C,3,FALSE),0)+IFERROR($K155*VLOOKUP($J155,食材表!$A:C,3,FALSE),0)+IFERROR($K156*VLOOKUP($J156,食材表!$A:C,3,FALSE),0)+IFERROR($K157*VLOOKUP($J157,食材表!$A:C,3,FALSE),0)</f>
        <v>0.41600000000000004</v>
      </c>
      <c r="M155" s="342">
        <f>IFERROR($I155*VLOOKUP($H155,食材表!$A:D,4,FALSE),0)+IFERROR($I156*VLOOKUP($H156,食材表!$A:D,4,FALSE),0)+IFERROR($I157*VLOOKUP($H157,食材表!$A:D,4,FALSE),0)+IFERROR($K155*VLOOKUP($J155,食材表!$A:D,4,FALSE),0)+IFERROR($K156*VLOOKUP($J156,食材表!$A:D,4,FALSE),0)+IFERROR($K157*VLOOKUP($J157,食材表!$A:D,4,FALSE),0)</f>
        <v>0.35360000000000003</v>
      </c>
      <c r="N155" s="342">
        <f>IFERROR($I155*VLOOKUP($H155,食材表!$A:E,5,FALSE),0)+IFERROR($I156*VLOOKUP($H156,食材表!$A:E,5,FALSE),0)+IFERROR($I157*VLOOKUP($H157,食材表!$A:E,5,FALSE),0)+IFERROR($K155*VLOOKUP($J155,食材表!$A:E,5,FALSE),0)+IFERROR($K156*VLOOKUP($J156,食材表!$A:E,5,FALSE),0)+IFERROR($K157*VLOOKUP($J157,食材表!$A:E,5,FALSE),0)</f>
        <v>0</v>
      </c>
      <c r="O155" s="342">
        <f>IFERROR($I155*VLOOKUP($H155,食材表!$A:F,6,FALSE),0)+IFERROR($I156*VLOOKUP($H156,食材表!$A:F,6,FALSE),0)+IFERROR($I157*VLOOKUP($H157,食材表!$A:F,6,FALSE),0)+IFERROR($K155*VLOOKUP($J155,食材表!$A:F,6,FALSE),0)+IFERROR($K156*VLOOKUP($J156,食材表!$A:F,6,FALSE),0)+IFERROR($K157*VLOOKUP($J157,食材表!$A:F,6,FALSE),0)</f>
        <v>0.2</v>
      </c>
      <c r="P155" s="342">
        <f>IFERROR($I155*VLOOKUP($H155,食材表!$A:G,7,FALSE),0)+IFERROR($I156*VLOOKUP($H156,食材表!$A:G,7,FALSE),0)+IFERROR($I157*VLOOKUP($H157,食材表!$A:G,7,FALSE),0)+IFERROR($K155*VLOOKUP($J155,食材表!$A:G,7,FALSE),0)+IFERROR($K156*VLOOKUP($J156,食材表!$A:G,7,FALSE),0)+IFERROR($K157*VLOOKUP($J157,食材表!$A:G,7,FALSE),0)</f>
        <v>0</v>
      </c>
      <c r="Q155" s="342">
        <f>IFERROR($I155*VLOOKUP($H155,食材表!$A:H,8,FALSE),0)+IFERROR($I156*VLOOKUP($H156,食材表!$A:H,8,FALSE),0)+IFERROR($I157*VLOOKUP($H157,食材表!$A:H,8,FALSE),0)+IFERROR($K155*VLOOKUP($J155,食材表!$A:H,8,FALSE),0)+IFERROR($K156*VLOOKUP($J156,食材表!$A:H,8,FALSE),0)+IFERROR($K157*VLOOKUP($J157,食材表!$A:H,8,FALSE),0)</f>
        <v>0.20800000000000002</v>
      </c>
      <c r="R155" s="342">
        <f>IFERROR($I155*VLOOKUP($H155,食材表!$A:I,9,FALSE),0)+IFERROR($I156*VLOOKUP($H156,食材表!$A:I,9,FALSE),0)+IFERROR($I157*VLOOKUP($H157,食材表!$A:I,9,FALSE),0)+IFERROR($K155*VLOOKUP($J155,食材表!$A:I,9,FALSE),0)+IFERROR($K156*VLOOKUP($J156,食材表!$A:I,9,FALSE),0)+IFERROR($K157*VLOOKUP($J157,食材表!$A:I,9,FALSE),0)</f>
        <v>0</v>
      </c>
      <c r="S155" s="342">
        <f>SUM(L155*70+M155*75+N155*120+O155*25+P155*60+Q155*45+R155*4)</f>
        <v>70</v>
      </c>
    </row>
    <row r="156" spans="1:19">
      <c r="A156" s="33" t="str">
        <f>"2"&amp;+$B155</f>
        <v>2餛飩湯</v>
      </c>
      <c r="B156" s="378"/>
      <c r="C156" s="31" t="s">
        <v>165</v>
      </c>
      <c r="D156" s="33">
        <v>0.8</v>
      </c>
      <c r="E156" s="27"/>
      <c r="F156" s="33"/>
      <c r="G156" s="353"/>
      <c r="H156" s="93" t="str">
        <f t="shared" ref="H156:H157" si="106">C156</f>
        <v>小白菜</v>
      </c>
      <c r="I156" s="86">
        <f>IFERROR(IF(LEN(D156)=LENB(D156),ROUND(LEFT(D156,2*LEN(D156)-LENB(D156))/$A$1,3),((ROUND(LEFT(D156,2*LEN(D156)-LENB(D156))/$A$1,3))*VLOOKUP(H156,食材表!$A:$B,2,FALSE))),"")</f>
        <v>1.6E-2</v>
      </c>
      <c r="J156" s="93">
        <f t="shared" ref="J156:J157" si="107">E156</f>
        <v>0</v>
      </c>
      <c r="K156" s="86" t="str">
        <f>IFERROR(IF(LEN(F156)=LENB(F156),ROUND(LEFT(F156,2*LEN(F156)-LENB(F156))/$A$1,3),((ROUND(LEFT(F156,2*LEN(F156)-LENB(F156))/$A$1,3))*VLOOKUP(J156,食材表!$A:$B,2,FALSE))),"")</f>
        <v/>
      </c>
      <c r="L156" s="343"/>
      <c r="M156" s="343"/>
      <c r="N156" s="343"/>
      <c r="O156" s="343"/>
      <c r="P156" s="343"/>
      <c r="Q156" s="343"/>
      <c r="R156" s="343"/>
      <c r="S156" s="343"/>
    </row>
    <row r="157" spans="1:19">
      <c r="A157" s="33" t="str">
        <f>"3"&amp;+$B155</f>
        <v>3餛飩湯</v>
      </c>
      <c r="B157" s="379"/>
      <c r="C157" s="28" t="s">
        <v>75</v>
      </c>
      <c r="D157" s="8">
        <v>0.2</v>
      </c>
      <c r="E157" s="29"/>
      <c r="F157" s="8"/>
      <c r="G157" s="354"/>
      <c r="H157" s="92" t="str">
        <f t="shared" si="106"/>
        <v>紅蘿蔔</v>
      </c>
      <c r="I157" s="84">
        <f>IFERROR(IF(LEN(D157)=LENB(D157),ROUND(LEFT(D157,2*LEN(D157)-LENB(D157))/$A$1,3),((ROUND(LEFT(D157,2*LEN(D157)-LENB(D157))/$A$1,3))*VLOOKUP(H157,食材表!$A:$B,2,FALSE))),"")</f>
        <v>4.0000000000000001E-3</v>
      </c>
      <c r="J157" s="92">
        <f t="shared" si="107"/>
        <v>0</v>
      </c>
      <c r="K157" s="85" t="str">
        <f>IFERROR(IF(LEN(F157)=LENB(F157),ROUND(LEFT(F157,2*LEN(F157)-LENB(F157))/$A$1,3),((ROUND(LEFT(F157,2*LEN(F157)-LENB(F157))/$A$1,3))*VLOOKUP(J157,食材表!$A:$B,2,FALSE))),"")</f>
        <v/>
      </c>
      <c r="L157" s="344"/>
      <c r="M157" s="344"/>
      <c r="N157" s="344"/>
      <c r="O157" s="344"/>
      <c r="P157" s="344"/>
      <c r="Q157" s="344"/>
      <c r="R157" s="344"/>
      <c r="S157" s="344"/>
    </row>
    <row r="158" spans="1:19">
      <c r="A158" s="33" t="str">
        <f>"1"&amp;+$B158</f>
        <v>1大滷湯餃</v>
      </c>
      <c r="B158" s="362" t="s">
        <v>967</v>
      </c>
      <c r="C158" s="55" t="s">
        <v>253</v>
      </c>
      <c r="D158" s="71" t="str">
        <f>($A$1+2)*2&amp;+"個"</f>
        <v>104個</v>
      </c>
      <c r="E158" s="55" t="s">
        <v>48</v>
      </c>
      <c r="F158" s="33">
        <v>0.6</v>
      </c>
      <c r="G158" s="352" t="str">
        <f>B158</f>
        <v>大滷湯餃</v>
      </c>
      <c r="H158" s="91" t="str">
        <f>C158</f>
        <v>水餃</v>
      </c>
      <c r="I158" s="83">
        <f>IFERROR(IF(LEN(D158)=LENB(D158),ROUND(LEFT(D158,2*LEN(D158)-LENB(D158))/$A$1,3),((ROUND(LEFT(D158,2*LEN(D158)-LENB(D158))/$A$1,3))*VLOOKUP(H158,食材表!$A:$B,2,FALSE))),"")</f>
        <v>2.08</v>
      </c>
      <c r="J158" s="91" t="str">
        <f>E158</f>
        <v>雞蛋</v>
      </c>
      <c r="K158" s="83">
        <f>IFERROR(IF(LEN(F158)=LENB(F158),ROUND(LEFT(F158,2*LEN(F158)-LENB(F158))/$A$1,3),((ROUND(LEFT(F158,2*LEN(F158)-LENB(F158))/$A$1,3))*VLOOKUP(J158,食材表!$A:$B,2,FALSE))),"")</f>
        <v>1.2E-2</v>
      </c>
      <c r="L158" s="342">
        <f>IFERROR($I158*VLOOKUP($H158,食材表!$A:C,3,FALSE),0)+IFERROR($I159*VLOOKUP($H159,食材表!$A:C,3,FALSE),0)+IFERROR($I160*VLOOKUP($H160,食材表!$A:C,3,FALSE),0)+IFERROR($K158*VLOOKUP($J158,食材表!$A:C,3,FALSE),0)+IFERROR($K159*VLOOKUP($J159,食材表!$A:C,3,FALSE),0)+IFERROR($K160*VLOOKUP($J160,食材表!$A:C,3,FALSE),0)</f>
        <v>0.72799999999999998</v>
      </c>
      <c r="M158" s="342">
        <f>IFERROR($I158*VLOOKUP($H158,食材表!$A:D,4,FALSE),0)+IFERROR($I159*VLOOKUP($H159,食材表!$A:D,4,FALSE),0)+IFERROR($I160*VLOOKUP($H160,食材表!$A:D,4,FALSE),0)+IFERROR($K158*VLOOKUP($J158,食材表!$A:D,4,FALSE),0)+IFERROR($K159*VLOOKUP($J159,食材表!$A:D,4,FALSE),0)+IFERROR($K160*VLOOKUP($J160,食材表!$A:D,4,FALSE),0)</f>
        <v>0.83821538461538458</v>
      </c>
      <c r="N158" s="342">
        <f>IFERROR($I158*VLOOKUP($H158,食材表!$A:E,5,FALSE),0)+IFERROR($I159*VLOOKUP($H159,食材表!$A:E,5,FALSE),0)+IFERROR($I160*VLOOKUP($H160,食材表!$A:E,5,FALSE),0)+IFERROR($K158*VLOOKUP($J158,食材表!$A:E,5,FALSE),0)+IFERROR($K159*VLOOKUP($J159,食材表!$A:E,5,FALSE),0)+IFERROR($K160*VLOOKUP($J160,食材表!$A:E,5,FALSE),0)</f>
        <v>0</v>
      </c>
      <c r="O158" s="342">
        <f>IFERROR($I158*VLOOKUP($H158,食材表!$A:F,6,FALSE),0)+IFERROR($I159*VLOOKUP($H159,食材表!$A:F,6,FALSE),0)+IFERROR($I160*VLOOKUP($H160,食材表!$A:F,6,FALSE),0)+IFERROR($K158*VLOOKUP($J158,食材表!$A:F,6,FALSE),0)+IFERROR($K159*VLOOKUP($J159,食材表!$A:F,6,FALSE),0)+IFERROR($K160*VLOOKUP($J160,食材表!$A:F,6,FALSE),0)</f>
        <v>0.16999999999999998</v>
      </c>
      <c r="P158" s="342">
        <f>IFERROR($I158*VLOOKUP($H158,食材表!$A:G,7,FALSE),0)+IFERROR($I159*VLOOKUP($H159,食材表!$A:G,7,FALSE),0)+IFERROR($I160*VLOOKUP($H160,食材表!$A:G,7,FALSE),0)+IFERROR($K158*VLOOKUP($J158,食材表!$A:G,7,FALSE),0)+IFERROR($K159*VLOOKUP($J159,食材表!$A:G,7,FALSE),0)+IFERROR($K160*VLOOKUP($J160,食材表!$A:G,7,FALSE),0)</f>
        <v>0</v>
      </c>
      <c r="Q158" s="342">
        <f>IFERROR($I158*VLOOKUP($H158,食材表!$A:H,8,FALSE),0)+IFERROR($I159*VLOOKUP($H159,食材表!$A:H,8,FALSE),0)+IFERROR($I160*VLOOKUP($H160,食材表!$A:H,8,FALSE),0)+IFERROR($K158*VLOOKUP($J158,食材表!$A:H,8,FALSE),0)+IFERROR($K159*VLOOKUP($J159,食材表!$A:H,8,FALSE),0)+IFERROR($K160*VLOOKUP($J160,食材表!$A:H,8,FALSE),0)</f>
        <v>0</v>
      </c>
      <c r="R158" s="342">
        <f>IFERROR($I158*VLOOKUP($H158,食材表!$A:I,9,FALSE),0)+IFERROR($I159*VLOOKUP($H159,食材表!$A:I,9,FALSE),0)+IFERROR($I160*VLOOKUP($H160,食材表!$A:I,9,FALSE),0)+IFERROR($K158*VLOOKUP($J158,食材表!$A:I,9,FALSE),0)+IFERROR($K159*VLOOKUP($J159,食材表!$A:I,9,FALSE),0)+IFERROR($K160*VLOOKUP($J160,食材表!$A:I,9,FALSE),0)</f>
        <v>0</v>
      </c>
      <c r="S158" s="342">
        <f>SUM(L158*70+M158*75+N158*120+O158*25+P158*60+Q158*45+R158*4)</f>
        <v>118.07615384615384</v>
      </c>
    </row>
    <row r="159" spans="1:19">
      <c r="A159" s="33" t="str">
        <f>"2"&amp;+$B158</f>
        <v>2大滷湯餃</v>
      </c>
      <c r="B159" s="363"/>
      <c r="C159" s="31" t="s">
        <v>83</v>
      </c>
      <c r="D159" s="33">
        <v>0.6</v>
      </c>
      <c r="E159" s="31" t="s">
        <v>160</v>
      </c>
      <c r="F159" s="33" t="s">
        <v>958</v>
      </c>
      <c r="G159" s="353"/>
      <c r="H159" s="93" t="str">
        <f t="shared" ref="H159:H160" si="108">C159</f>
        <v>木耳</v>
      </c>
      <c r="I159" s="86">
        <f>IFERROR(IF(LEN(D159)=LENB(D159),ROUND(LEFT(D159,2*LEN(D159)-LENB(D159))/$A$1,3),((ROUND(LEFT(D159,2*LEN(D159)-LENB(D159))/$A$1,3))*VLOOKUP(H159,食材表!$A:$B,2,FALSE))),"")</f>
        <v>1.2E-2</v>
      </c>
      <c r="J159" s="93" t="str">
        <f t="shared" ref="J159:J160" si="109">E159</f>
        <v>胡蘿蔔</v>
      </c>
      <c r="K159" s="86">
        <f>IFERROR(IF(LEN(F159)=LENB(F159),ROUND(LEFT(F159,2*LEN(F159)-LENB(F159))/$A$1,3),((ROUND(LEFT(F159,2*LEN(F159)-LENB(F159))/$A$1,3))*VLOOKUP(J159,食材表!$A:$B,2,FALSE))),"")</f>
        <v>5.0000000000000001E-3</v>
      </c>
      <c r="L159" s="343"/>
      <c r="M159" s="343"/>
      <c r="N159" s="343"/>
      <c r="O159" s="343"/>
      <c r="P159" s="343"/>
      <c r="Q159" s="343"/>
      <c r="R159" s="343"/>
      <c r="S159" s="343"/>
    </row>
    <row r="160" spans="1:19">
      <c r="A160" s="33" t="str">
        <f>"3"&amp;+$B158</f>
        <v>3大滷湯餃</v>
      </c>
      <c r="B160" s="364"/>
      <c r="C160" s="28" t="s">
        <v>100</v>
      </c>
      <c r="D160" s="22">
        <v>1.2</v>
      </c>
      <c r="E160" s="28" t="s">
        <v>53</v>
      </c>
      <c r="F160" s="8" t="s">
        <v>955</v>
      </c>
      <c r="G160" s="354"/>
      <c r="H160" s="92" t="str">
        <f t="shared" si="108"/>
        <v>板豆腐</v>
      </c>
      <c r="I160" s="84">
        <f>IFERROR(IF(LEN(D160)=LENB(D160),ROUND(LEFT(D160,2*LEN(D160)-LENB(D160))/$A$1,3),((ROUND(LEFT(D160,2*LEN(D160)-LENB(D160))/$A$1,3))*VLOOKUP(H160,食材表!$A:$B,2,FALSE))),"")</f>
        <v>2.4E-2</v>
      </c>
      <c r="J160" s="92" t="str">
        <f t="shared" si="109"/>
        <v>柴魚片</v>
      </c>
      <c r="K160" s="85">
        <f>IFERROR(IF(LEN(F160)=LENB(F160),ROUND(LEFT(F160,2*LEN(F160)-LENB(F160))/$A$1,3),((ROUND(LEFT(F160,2*LEN(F160)-LENB(F160))/$A$1,3))*VLOOKUP(J160,食材表!$A:$B,2,FALSE))),"")</f>
        <v>1.2E-2</v>
      </c>
      <c r="L160" s="344"/>
      <c r="M160" s="344"/>
      <c r="N160" s="344"/>
      <c r="O160" s="344"/>
      <c r="P160" s="344"/>
      <c r="Q160" s="344"/>
      <c r="R160" s="344"/>
      <c r="S160" s="344"/>
    </row>
    <row r="161" spans="1:19">
      <c r="A161" s="33" t="str">
        <f>"1"&amp;+$B161</f>
        <v>1福州魚丸湯</v>
      </c>
      <c r="B161" s="349" t="s">
        <v>1021</v>
      </c>
      <c r="C161" s="60" t="s">
        <v>1022</v>
      </c>
      <c r="D161" s="71" t="str">
        <f>($A$1+2)*2&amp;+"個"</f>
        <v>104個</v>
      </c>
      <c r="E161" s="60"/>
      <c r="F161" s="36"/>
      <c r="G161" s="352" t="str">
        <f>B161</f>
        <v>福州魚丸湯</v>
      </c>
      <c r="H161" s="91" t="str">
        <f>C161</f>
        <v>福州魚丸</v>
      </c>
      <c r="I161" s="83" t="str">
        <f>IFERROR(IF(LEN(D161)=LENB(D161),ROUND(LEFT(D161,2*LEN(D161)-LENB(D161))/$A$1,3),((ROUND(LEFT(D161,2*LEN(D161)-LENB(D161))/$A$1,3))*VLOOKUP(H161,食材表!$A:$B,2,FALSE))),"")</f>
        <v/>
      </c>
      <c r="J161" s="91">
        <f>E161</f>
        <v>0</v>
      </c>
      <c r="K161" s="83" t="str">
        <f>IFERROR(IF(LEN(F161)=LENB(F161),ROUND(LEFT(F161,2*LEN(F161)-LENB(F161))/$A$1,3),((ROUND(LEFT(F161,2*LEN(F161)-LENB(F161))/$A$1,3))*VLOOKUP(J161,食材表!$A:$B,2,FALSE))),"")</f>
        <v/>
      </c>
      <c r="L161" s="342">
        <f>IFERROR($I161*VLOOKUP($H161,食材表!$A:C,3,FALSE),0)+IFERROR($I162*VLOOKUP($H162,食材表!$A:C,3,FALSE),0)+IFERROR($I163*VLOOKUP($H163,食材表!$A:C,3,FALSE),0)+IFERROR($K161*VLOOKUP($J161,食材表!$A:C,3,FALSE),0)+IFERROR($K162*VLOOKUP($J162,食材表!$A:C,3,FALSE),0)+IFERROR($K163*VLOOKUP($J163,食材表!$A:C,3,FALSE),0)</f>
        <v>0</v>
      </c>
      <c r="M161" s="342">
        <f>IFERROR($I161*VLOOKUP($H161,食材表!$A:D,4,FALSE),0)+IFERROR($I162*VLOOKUP($H162,食材表!$A:D,4,FALSE),0)+IFERROR($I163*VLOOKUP($H163,食材表!$A:D,4,FALSE),0)+IFERROR($K161*VLOOKUP($J161,食材表!$A:D,4,FALSE),0)+IFERROR($K162*VLOOKUP($J162,食材表!$A:D,4,FALSE),0)+IFERROR($K163*VLOOKUP($J163,食材表!$A:D,4,FALSE),0)</f>
        <v>0</v>
      </c>
      <c r="N161" s="342">
        <f>IFERROR($I161*VLOOKUP($H161,食材表!$A:E,5,FALSE),0)+IFERROR($I162*VLOOKUP($H162,食材表!$A:E,5,FALSE),0)+IFERROR($I163*VLOOKUP($H163,食材表!$A:E,5,FALSE),0)+IFERROR($K161*VLOOKUP($J161,食材表!$A:E,5,FALSE),0)+IFERROR($K162*VLOOKUP($J162,食材表!$A:E,5,FALSE),0)+IFERROR($K163*VLOOKUP($J163,食材表!$A:E,5,FALSE),0)</f>
        <v>0</v>
      </c>
      <c r="O161" s="342">
        <f>IFERROR($I161*VLOOKUP($H161,食材表!$A:F,6,FALSE),0)+IFERROR($I162*VLOOKUP($H162,食材表!$A:F,6,FALSE),0)+IFERROR($I163*VLOOKUP($H163,食材表!$A:F,6,FALSE),0)+IFERROR($K161*VLOOKUP($J161,食材表!$A:F,6,FALSE),0)+IFERROR($K162*VLOOKUP($J162,食材表!$A:F,6,FALSE),0)+IFERROR($K163*VLOOKUP($J163,食材表!$A:F,6,FALSE),0)</f>
        <v>0.02</v>
      </c>
      <c r="P161" s="342">
        <f>IFERROR($I161*VLOOKUP($H161,食材表!$A:G,7,FALSE),0)+IFERROR($I162*VLOOKUP($H162,食材表!$A:G,7,FALSE),0)+IFERROR($I163*VLOOKUP($H163,食材表!$A:G,7,FALSE),0)+IFERROR($K161*VLOOKUP($J161,食材表!$A:G,7,FALSE),0)+IFERROR($K162*VLOOKUP($J162,食材表!$A:G,7,FALSE),0)+IFERROR($K163*VLOOKUP($J163,食材表!$A:G,7,FALSE),0)</f>
        <v>0</v>
      </c>
      <c r="Q161" s="342">
        <f>IFERROR($I161*VLOOKUP($H161,食材表!$A:H,8,FALSE),0)+IFERROR($I162*VLOOKUP($H162,食材表!$A:H,8,FALSE),0)+IFERROR($I163*VLOOKUP($H163,食材表!$A:H,8,FALSE),0)+IFERROR($K161*VLOOKUP($J161,食材表!$A:H,8,FALSE),0)+IFERROR($K162*VLOOKUP($J162,食材表!$A:H,8,FALSE),0)+IFERROR($K163*VLOOKUP($J163,食材表!$A:H,8,FALSE),0)</f>
        <v>0</v>
      </c>
      <c r="R161" s="342">
        <f>IFERROR($I161*VLOOKUP($H161,食材表!$A:I,9,FALSE),0)+IFERROR($I162*VLOOKUP($H162,食材表!$A:I,9,FALSE),0)+IFERROR($I163*VLOOKUP($H163,食材表!$A:I,9,FALSE),0)+IFERROR($K161*VLOOKUP($J161,食材表!$A:I,9,FALSE),0)+IFERROR($K162*VLOOKUP($J162,食材表!$A:I,9,FALSE),0)+IFERROR($K163*VLOOKUP($J163,食材表!$A:I,9,FALSE),0)</f>
        <v>0</v>
      </c>
      <c r="S161" s="342">
        <f>SUM(L161*70+M161*75+N161*120+O161*25+P161*60+Q161*45+R161*4)</f>
        <v>0.5</v>
      </c>
    </row>
    <row r="162" spans="1:19">
      <c r="A162" s="33" t="str">
        <f>"2"&amp;+$B161</f>
        <v>2福州魚丸湯</v>
      </c>
      <c r="B162" s="350"/>
      <c r="C162" s="22" t="s">
        <v>169</v>
      </c>
      <c r="D162" s="36">
        <v>0.1</v>
      </c>
      <c r="E162" s="22"/>
      <c r="F162" s="36"/>
      <c r="G162" s="353"/>
      <c r="H162" s="93" t="str">
        <f t="shared" ref="H162:H163" si="110">C162</f>
        <v>芹菜</v>
      </c>
      <c r="I162" s="86">
        <f>IFERROR(IF(LEN(D162)=LENB(D162),ROUND(LEFT(D162,2*LEN(D162)-LENB(D162))/$A$1,3),((ROUND(LEFT(D162,2*LEN(D162)-LENB(D162))/$A$1,3))*VLOOKUP(H162,食材表!$A:$B,2,FALSE))),"")</f>
        <v>2E-3</v>
      </c>
      <c r="J162" s="93">
        <f t="shared" ref="J162:J163" si="111">E162</f>
        <v>0</v>
      </c>
      <c r="K162" s="86" t="str">
        <f>IFERROR(IF(LEN(F162)=LENB(F162),ROUND(LEFT(F162,2*LEN(F162)-LENB(F162))/$A$1,3),((ROUND(LEFT(F162,2*LEN(F162)-LENB(F162))/$A$1,3))*VLOOKUP(J162,食材表!$A:$B,2,FALSE))),"")</f>
        <v/>
      </c>
      <c r="L162" s="343"/>
      <c r="M162" s="343"/>
      <c r="N162" s="343"/>
      <c r="O162" s="343"/>
      <c r="P162" s="343"/>
      <c r="Q162" s="343"/>
      <c r="R162" s="343"/>
      <c r="S162" s="343"/>
    </row>
    <row r="163" spans="1:19">
      <c r="A163" s="33" t="str">
        <f>"3"&amp;+$B161</f>
        <v>3福州魚丸湯</v>
      </c>
      <c r="B163" s="351"/>
      <c r="C163" s="26" t="s">
        <v>285</v>
      </c>
      <c r="D163" s="37" t="s">
        <v>238</v>
      </c>
      <c r="E163" s="26"/>
      <c r="F163" s="37"/>
      <c r="G163" s="354"/>
      <c r="H163" s="92" t="str">
        <f t="shared" si="110"/>
        <v>油蔥酥</v>
      </c>
      <c r="I163" s="84">
        <f>IFERROR(IF(LEN(D163)=LENB(D163),ROUND(LEFT(D163,2*LEN(D163)-LENB(D163))/$A$1,3),((ROUND(LEFT(D163,2*LEN(D163)-LENB(D163))/$A$1,3))*VLOOKUP(H163,食材表!$A:$B,2,FALSE))),"")</f>
        <v>3.0000000000000001E-3</v>
      </c>
      <c r="J163" s="92">
        <f t="shared" si="111"/>
        <v>0</v>
      </c>
      <c r="K163" s="85" t="str">
        <f>IFERROR(IF(LEN(F163)=LENB(F163),ROUND(LEFT(F163,2*LEN(F163)-LENB(F163))/$A$1,3),((ROUND(LEFT(F163,2*LEN(F163)-LENB(F163))/$A$1,3))*VLOOKUP(J163,食材表!$A:$B,2,FALSE))),"")</f>
        <v/>
      </c>
      <c r="L163" s="344"/>
      <c r="M163" s="344"/>
      <c r="N163" s="344"/>
      <c r="O163" s="344"/>
      <c r="P163" s="344"/>
      <c r="Q163" s="344"/>
      <c r="R163" s="344"/>
      <c r="S163" s="344"/>
    </row>
    <row r="164" spans="1:19">
      <c r="A164" s="33" t="str">
        <f>"1"&amp;+$B164</f>
        <v>1豆干包湯</v>
      </c>
      <c r="B164" s="349" t="s">
        <v>1113</v>
      </c>
      <c r="C164" s="60" t="s">
        <v>1114</v>
      </c>
      <c r="D164" s="71" t="str">
        <f>($A$1+2)*2&amp;+"個"</f>
        <v>104個</v>
      </c>
      <c r="E164" s="60"/>
      <c r="F164" s="36"/>
      <c r="G164" s="352" t="str">
        <f t="shared" ref="G164" si="112">B164</f>
        <v>豆干包湯</v>
      </c>
      <c r="H164" s="91" t="str">
        <f>C164</f>
        <v>豆干包</v>
      </c>
      <c r="I164" s="83" t="str">
        <f>IFERROR(IF(LEN(D164)=LENB(D164),ROUND(LEFT(D164,2*LEN(D164)-LENB(D164))/$A$1,3),((ROUND(LEFT(D164,2*LEN(D164)-LENB(D164))/$A$1,3))*VLOOKUP(H164,食材表!$A:$B,2,FALSE))),"")</f>
        <v/>
      </c>
      <c r="J164" s="91">
        <f>E164</f>
        <v>0</v>
      </c>
      <c r="K164" s="83" t="str">
        <f>IFERROR(IF(LEN(F164)=LENB(F164),ROUND(LEFT(F164,2*LEN(F164)-LENB(F164))/$A$1,3),((ROUND(LEFT(F164,2*LEN(F164)-LENB(F164))/$A$1,3))*VLOOKUP(J164,食材表!$A:$B,2,FALSE))),"")</f>
        <v/>
      </c>
      <c r="L164" s="342">
        <f>IFERROR($I164*VLOOKUP($H164,食材表!$A:C,3,FALSE),0)+IFERROR($I165*VLOOKUP($H165,食材表!$A:C,3,FALSE),0)+IFERROR($I166*VLOOKUP($H166,食材表!$A:C,3,FALSE),0)+IFERROR($K164*VLOOKUP($J164,食材表!$A:C,3,FALSE),0)+IFERROR($K165*VLOOKUP($J165,食材表!$A:C,3,FALSE),0)+IFERROR($K166*VLOOKUP($J166,食材表!$A:C,3,FALSE),0)</f>
        <v>0</v>
      </c>
      <c r="M164" s="342">
        <f>IFERROR($I164*VLOOKUP($H164,食材表!$A:D,4,FALSE),0)+IFERROR($I165*VLOOKUP($H165,食材表!$A:D,4,FALSE),0)+IFERROR($I166*VLOOKUP($H166,食材表!$A:D,4,FALSE),0)+IFERROR($K164*VLOOKUP($J164,食材表!$A:D,4,FALSE),0)+IFERROR($K165*VLOOKUP($J165,食材表!$A:D,4,FALSE),0)+IFERROR($K166*VLOOKUP($J166,食材表!$A:D,4,FALSE),0)</f>
        <v>0</v>
      </c>
      <c r="N164" s="342">
        <f>IFERROR($I164*VLOOKUP($H164,食材表!$A:E,5,FALSE),0)+IFERROR($I165*VLOOKUP($H165,食材表!$A:E,5,FALSE),0)+IFERROR($I166*VLOOKUP($H166,食材表!$A:E,5,FALSE),0)+IFERROR($K164*VLOOKUP($J164,食材表!$A:E,5,FALSE),0)+IFERROR($K165*VLOOKUP($J165,食材表!$A:E,5,FALSE),0)+IFERROR($K166*VLOOKUP($J166,食材表!$A:E,5,FALSE),0)</f>
        <v>0</v>
      </c>
      <c r="O164" s="342">
        <f>IFERROR($I164*VLOOKUP($H164,食材表!$A:F,6,FALSE),0)+IFERROR($I165*VLOOKUP($H165,食材表!$A:F,6,FALSE),0)+IFERROR($I166*VLOOKUP($H166,食材表!$A:F,6,FALSE),0)+IFERROR($K164*VLOOKUP($J164,食材表!$A:F,6,FALSE),0)+IFERROR($K165*VLOOKUP($J165,食材表!$A:F,6,FALSE),0)+IFERROR($K166*VLOOKUP($J166,食材表!$A:F,6,FALSE),0)</f>
        <v>0.02</v>
      </c>
      <c r="P164" s="342">
        <f>IFERROR($I164*VLOOKUP($H164,食材表!$A:G,7,FALSE),0)+IFERROR($I165*VLOOKUP($H165,食材表!$A:G,7,FALSE),0)+IFERROR($I166*VLOOKUP($H166,食材表!$A:G,7,FALSE),0)+IFERROR($K164*VLOOKUP($J164,食材表!$A:G,7,FALSE),0)+IFERROR($K165*VLOOKUP($J165,食材表!$A:G,7,FALSE),0)+IFERROR($K166*VLOOKUP($J166,食材表!$A:G,7,FALSE),0)</f>
        <v>0</v>
      </c>
      <c r="Q164" s="342">
        <f>IFERROR($I164*VLOOKUP($H164,食材表!$A:H,8,FALSE),0)+IFERROR($I165*VLOOKUP($H165,食材表!$A:H,8,FALSE),0)+IFERROR($I166*VLOOKUP($H166,食材表!$A:H,8,FALSE),0)+IFERROR($K164*VLOOKUP($J164,食材表!$A:H,8,FALSE),0)+IFERROR($K165*VLOOKUP($J165,食材表!$A:H,8,FALSE),0)+IFERROR($K166*VLOOKUP($J166,食材表!$A:H,8,FALSE),0)</f>
        <v>0</v>
      </c>
      <c r="R164" s="342">
        <f>IFERROR($I164*VLOOKUP($H164,食材表!$A:I,9,FALSE),0)+IFERROR($I165*VLOOKUP($H165,食材表!$A:I,9,FALSE),0)+IFERROR($I166*VLOOKUP($H166,食材表!$A:I,9,FALSE),0)+IFERROR($K164*VLOOKUP($J164,食材表!$A:I,9,FALSE),0)+IFERROR($K165*VLOOKUP($J165,食材表!$A:I,9,FALSE),0)+IFERROR($K166*VLOOKUP($J166,食材表!$A:I,9,FALSE),0)</f>
        <v>0</v>
      </c>
      <c r="S164" s="342">
        <f t="shared" ref="S164" si="113">SUM(L164*70+M164*75+N164*120+O164*25+P164*60+Q164*45+R164*4)</f>
        <v>0.5</v>
      </c>
    </row>
    <row r="165" spans="1:19">
      <c r="A165" s="33" t="str">
        <f>"2"&amp;+$B164</f>
        <v>2豆干包湯</v>
      </c>
      <c r="B165" s="350"/>
      <c r="C165" s="22" t="s">
        <v>169</v>
      </c>
      <c r="D165" s="36">
        <v>0.1</v>
      </c>
      <c r="E165" s="22"/>
      <c r="F165" s="36"/>
      <c r="G165" s="353"/>
      <c r="H165" s="93" t="str">
        <f>C165</f>
        <v>芹菜</v>
      </c>
      <c r="I165" s="86">
        <f>IFERROR(IF(LEN(D165)=LENB(D165),ROUND(LEFT(D165,2*LEN(D165)-LENB(D165))/$A$1,3),((ROUND(LEFT(D165,2*LEN(D165)-LENB(D165))/$A$1,3))*VLOOKUP(H165,食材表!$A:$B,2,FALSE))),"")</f>
        <v>2E-3</v>
      </c>
      <c r="J165" s="93">
        <f>E165</f>
        <v>0</v>
      </c>
      <c r="K165" s="86" t="str">
        <f>IFERROR(IF(LEN(F165)=LENB(F165),ROUND(LEFT(F165,2*LEN(F165)-LENB(F165))/$A$1,3),((ROUND(LEFT(F165,2*LEN(F165)-LENB(F165))/$A$1,3))*VLOOKUP(J165,食材表!$A:$B,2,FALSE))),"")</f>
        <v/>
      </c>
      <c r="L165" s="343"/>
      <c r="M165" s="343"/>
      <c r="N165" s="343"/>
      <c r="O165" s="343"/>
      <c r="P165" s="343"/>
      <c r="Q165" s="343"/>
      <c r="R165" s="343"/>
      <c r="S165" s="343"/>
    </row>
    <row r="166" spans="1:19">
      <c r="A166" s="33" t="str">
        <f>"3"&amp;+$B164</f>
        <v>3豆干包湯</v>
      </c>
      <c r="B166" s="351"/>
      <c r="C166" s="26" t="s">
        <v>285</v>
      </c>
      <c r="D166" s="37" t="s">
        <v>238</v>
      </c>
      <c r="E166" s="26"/>
      <c r="F166" s="37"/>
      <c r="G166" s="354"/>
      <c r="H166" s="92" t="str">
        <f>C166</f>
        <v>油蔥酥</v>
      </c>
      <c r="I166" s="84">
        <f>IFERROR(IF(LEN(D166)=LENB(D166),ROUND(LEFT(D166,2*LEN(D166)-LENB(D166))/$A$1,3),((ROUND(LEFT(D166,2*LEN(D166)-LENB(D166))/$A$1,3))*VLOOKUP(H166,食材表!$A:$B,2,FALSE))),"")</f>
        <v>3.0000000000000001E-3</v>
      </c>
      <c r="J166" s="92">
        <f>E166</f>
        <v>0</v>
      </c>
      <c r="K166" s="85" t="str">
        <f>IFERROR(IF(LEN(F166)=LENB(F166),ROUND(LEFT(F166,2*LEN(F166)-LENB(F166))/$A$1,3),((ROUND(LEFT(F166,2*LEN(F166)-LENB(F166))/$A$1,3))*VLOOKUP(J166,食材表!$A:$B,2,FALSE))),"")</f>
        <v/>
      </c>
      <c r="L166" s="344"/>
      <c r="M166" s="344"/>
      <c r="N166" s="344"/>
      <c r="O166" s="344"/>
      <c r="P166" s="344"/>
      <c r="Q166" s="344"/>
      <c r="R166" s="344"/>
      <c r="S166" s="344"/>
    </row>
    <row r="167" spans="1:19">
      <c r="A167" s="33" t="str">
        <f>"1"&amp;+$B167</f>
        <v>1豆漿</v>
      </c>
      <c r="B167" s="355" t="s">
        <v>69</v>
      </c>
      <c r="C167" s="31" t="s">
        <v>69</v>
      </c>
      <c r="D167" s="56" t="s">
        <v>1212</v>
      </c>
      <c r="E167" s="31"/>
      <c r="F167" s="56"/>
      <c r="G167" s="352" t="str">
        <f>B167</f>
        <v>豆漿</v>
      </c>
      <c r="H167" s="91" t="str">
        <f>C167</f>
        <v>豆漿</v>
      </c>
      <c r="I167" s="84">
        <f>(2*IFERROR(MID(D167,FIND("2L*",D167)+3,1),0)+1*IFERROR(MID(D167,FIND("1L*",D167)+3,2),0))/$A$1</f>
        <v>0.14000000000000001</v>
      </c>
      <c r="J167" s="91">
        <f>E167</f>
        <v>0</v>
      </c>
      <c r="K167" s="83" t="str">
        <f>IFERROR(IF(LEN(F167)=LENB(F167),ROUND(LEFT(F167,2*LEN(F167)-LENB(F167))/$A$1,3),((ROUND(LEFT(F167,2*LEN(F167)-LENB(F167))/$A$1,3))*VLOOKUP(J167,食材表!$A:$B,2,FALSE))),"")</f>
        <v/>
      </c>
      <c r="L167" s="345">
        <f>IFERROR($I167*VLOOKUP($H167,食材表!$A:C,3,FALSE),0)+IFERROR($I168*VLOOKUP($H168,食材表!$A:C,3,FALSE),0)+IFERROR($I169*VLOOKUP($H169,食材表!$A:C,3,FALSE),0)+IFERROR($K167*VLOOKUP($J167,食材表!$A:C,3,FALSE),0)+IFERROR($K168*VLOOKUP($J168,食材表!$A:C,3,FALSE),0)+IFERROR($K169*VLOOKUP($J169,食材表!$A:C,3,FALSE),0)</f>
        <v>0</v>
      </c>
      <c r="M167" s="345">
        <f>IFERROR($I167*VLOOKUP($H167,食材表!$A:D,4,FALSE),0)+IFERROR($I168*VLOOKUP($H168,食材表!$A:D,4,FALSE),0)+IFERROR($I169*VLOOKUP($H169,食材表!$A:D,4,FALSE),0)+IFERROR($K167*VLOOKUP($J167,食材表!$A:D,4,FALSE),0)+IFERROR($K168*VLOOKUP($J168,食材表!$A:D,4,FALSE),0)+IFERROR($K169*VLOOKUP($J169,食材表!$A:D,4,FALSE),0)</f>
        <v>0.72800000000000009</v>
      </c>
      <c r="N167" s="345">
        <f>IFERROR($I167*VLOOKUP($H167,食材表!$A:E,5,FALSE),0)+IFERROR($I168*VLOOKUP($H168,食材表!$A:E,5,FALSE),0)+IFERROR($I169*VLOOKUP($H169,食材表!$A:E,5,FALSE),0)+IFERROR($K167*VLOOKUP($J167,食材表!$A:E,5,FALSE),0)+IFERROR($K168*VLOOKUP($J168,食材表!$A:E,5,FALSE),0)+IFERROR($K169*VLOOKUP($J169,食材表!$A:E,5,FALSE),0)</f>
        <v>0</v>
      </c>
      <c r="O167" s="345">
        <f>IFERROR($I167*VLOOKUP($H167,食材表!$A:F,6,FALSE),0)+IFERROR($I168*VLOOKUP($H168,食材表!$A:F,6,FALSE),0)+IFERROR($I169*VLOOKUP($H169,食材表!$A:F,6,FALSE),0)+IFERROR($K167*VLOOKUP($J167,食材表!$A:F,6,FALSE),0)+IFERROR($K168*VLOOKUP($J168,食材表!$A:F,6,FALSE),0)+IFERROR($K169*VLOOKUP($J169,食材表!$A:F,6,FALSE),0)</f>
        <v>0</v>
      </c>
      <c r="P167" s="345">
        <f>IFERROR($I167*VLOOKUP($H167,食材表!$A:G,7,FALSE),0)+IFERROR($I168*VLOOKUP($H168,食材表!$A:G,7,FALSE),0)+IFERROR($I169*VLOOKUP($H169,食材表!$A:G,7,FALSE),0)+IFERROR($K167*VLOOKUP($J167,食材表!$A:G,7,FALSE),0)+IFERROR($K168*VLOOKUP($J168,食材表!$A:G,7,FALSE),0)+IFERROR($K169*VLOOKUP($J169,食材表!$A:G,7,FALSE),0)</f>
        <v>0</v>
      </c>
      <c r="Q167" s="345">
        <f>IFERROR($I167*VLOOKUP($H167,食材表!$A:H,8,FALSE),0)+IFERROR($I168*VLOOKUP($H168,食材表!$A:H,8,FALSE),0)+IFERROR($I169*VLOOKUP($H169,食材表!$A:H,8,FALSE),0)+IFERROR($K167*VLOOKUP($J167,食材表!$A:H,8,FALSE),0)+IFERROR($K168*VLOOKUP($J168,食材表!$A:H,8,FALSE),0)+IFERROR($K169*VLOOKUP($J169,食材表!$A:H,8,FALSE),0)</f>
        <v>0</v>
      </c>
      <c r="R167" s="345">
        <f>IFERROR($I167*VLOOKUP($H167,食材表!$A:I,9,FALSE),0)+IFERROR($I168*VLOOKUP($H168,食材表!$A:I,9,FALSE),0)+IFERROR($I169*VLOOKUP($H169,食材表!$A:I,9,FALSE),0)+IFERROR($K167*VLOOKUP($J167,食材表!$A:I,9,FALSE),0)+IFERROR($K168*VLOOKUP($J168,食材表!$A:I,9,FALSE),0)+IFERROR($K169*VLOOKUP($J169,食材表!$A:I,9,FALSE),0)</f>
        <v>0</v>
      </c>
      <c r="S167" s="345">
        <f>SUM(L167*70+M167*75+N167*120+O167*25+P167*60+Q167*45+R167*4)</f>
        <v>54.600000000000009</v>
      </c>
    </row>
    <row r="168" spans="1:19">
      <c r="A168" s="33" t="str">
        <f>"2"&amp;+$B167</f>
        <v>2豆漿</v>
      </c>
      <c r="B168" s="356"/>
      <c r="C168" s="31"/>
      <c r="D168" s="40"/>
      <c r="E168" s="31"/>
      <c r="F168" s="33"/>
      <c r="G168" s="353"/>
      <c r="H168" s="93">
        <f t="shared" ref="H168:H169" si="114">C168</f>
        <v>0</v>
      </c>
      <c r="I168" s="86">
        <f>(2*IFERROR(MID(D168,FIND("2L*",D168)+3,1),0)+1*IFERROR(MID(D168,FIND("1L*",D168)+3,2),0))/$A$1</f>
        <v>0</v>
      </c>
      <c r="J168" s="93">
        <f t="shared" ref="J168:J169" si="115">E168</f>
        <v>0</v>
      </c>
      <c r="K168" s="86" t="str">
        <f>IFERROR(IF(LEN(F168)=LENB(F168),ROUND(LEFT(F168,2*LEN(F168)-LENB(F168))/$A$1,3),((ROUND(LEFT(F168,2*LEN(F168)-LENB(F168))/$A$1,3))*VLOOKUP(J168,食材表!$A:$B,2,FALSE))),"")</f>
        <v/>
      </c>
      <c r="L168" s="345"/>
      <c r="M168" s="345"/>
      <c r="N168" s="345"/>
      <c r="O168" s="345"/>
      <c r="P168" s="345"/>
      <c r="Q168" s="345"/>
      <c r="R168" s="345"/>
      <c r="S168" s="345"/>
    </row>
    <row r="169" spans="1:19">
      <c r="A169" s="33" t="str">
        <f>"3"&amp;+$B167</f>
        <v>3豆漿</v>
      </c>
      <c r="B169" s="357"/>
      <c r="C169" s="28"/>
      <c r="D169" s="33"/>
      <c r="E169" s="28"/>
      <c r="F169" s="8"/>
      <c r="G169" s="354"/>
      <c r="H169" s="92">
        <f t="shared" si="114"/>
        <v>0</v>
      </c>
      <c r="I169" s="84" t="str">
        <f>IFERROR(IF(LEN(D169)=LENB(D169),ROUND(LEFT(D169,2*LEN(D169)-LENB(D169))/$A$1,3),((ROUND(LEFT(D169,2*LEN(D169)-LENB(D169))/$A$1,3))*VLOOKUP(H169,食材表!$A:$B,2,FALSE))),"")</f>
        <v/>
      </c>
      <c r="J169" s="92">
        <f t="shared" si="115"/>
        <v>0</v>
      </c>
      <c r="K169" s="85" t="str">
        <f>IFERROR(IF(LEN(F169)=LENB(F169),ROUND(LEFT(F169,2*LEN(F169)-LENB(F169))/$A$1,3),((ROUND(LEFT(F169,2*LEN(F169)-LENB(F169))/$A$1,3))*VLOOKUP(J169,食材表!$A:$B,2,FALSE))),"")</f>
        <v/>
      </c>
      <c r="L169" s="345"/>
      <c r="M169" s="345"/>
      <c r="N169" s="345"/>
      <c r="O169" s="345"/>
      <c r="P169" s="345"/>
      <c r="Q169" s="345"/>
      <c r="R169" s="345"/>
      <c r="S169" s="345"/>
    </row>
    <row r="170" spans="1:19">
      <c r="A170" s="33" t="str">
        <f>"1"&amp;+$B170</f>
        <v>1鮮奶</v>
      </c>
      <c r="B170" s="349" t="s">
        <v>140</v>
      </c>
      <c r="C170" s="38" t="s">
        <v>140</v>
      </c>
      <c r="D170" s="59" t="s">
        <v>957</v>
      </c>
      <c r="E170" s="22"/>
      <c r="F170" s="36"/>
      <c r="G170" s="374" t="str">
        <f>B170</f>
        <v>鮮奶</v>
      </c>
      <c r="H170" s="91" t="str">
        <f>C170</f>
        <v>鮮奶</v>
      </c>
      <c r="I170" s="84">
        <f>(2*IFERROR(MID(D170,FIND("2L*",D170)+3,1),0)+1*IFERROR(MID(D170,FIND("1L*",D170)+3,2),0))/$A$1</f>
        <v>0.14000000000000001</v>
      </c>
      <c r="J170" s="91">
        <f>E170</f>
        <v>0</v>
      </c>
      <c r="K170" s="83" t="str">
        <f>IFERROR(IF(LEN(F170)=LENB(F170),ROUND(LEFT(F170,2*LEN(F170)-LENB(F170))/$A$1,3),((ROUND(LEFT(F170,2*LEN(F170)-LENB(F170))/$A$1,3))*VLOOKUP(J170,食材表!$A:$B,2,FALSE))),"")</f>
        <v/>
      </c>
      <c r="L170" s="342">
        <f>IFERROR($I170*VLOOKUP($H170,食材表!$A:C,3,FALSE),0)+IFERROR($I171*VLOOKUP($H171,食材表!$A:C,3,FALSE),0)+IFERROR($I172*VLOOKUP($H172,食材表!$A:C,3,FALSE),0)+IFERROR($K170*VLOOKUP($J170,食材表!$A:C,3,FALSE),0)+IFERROR($K171*VLOOKUP($J171,食材表!$A:C,3,FALSE),0)+IFERROR($K172*VLOOKUP($J172,食材表!$A:C,3,FALSE),0)</f>
        <v>0</v>
      </c>
      <c r="M170" s="342">
        <f>IFERROR($I170*VLOOKUP($H170,食材表!$A:D,4,FALSE),0)+IFERROR($I171*VLOOKUP($H171,食材表!$A:D,4,FALSE),0)+IFERROR($I172*VLOOKUP($H172,食材表!$A:D,4,FALSE),0)+IFERROR($K170*VLOOKUP($J170,食材表!$A:D,4,FALSE),0)+IFERROR($K171*VLOOKUP($J171,食材表!$A:D,4,FALSE),0)+IFERROR($K172*VLOOKUP($J172,食材表!$A:D,4,FALSE),0)</f>
        <v>0</v>
      </c>
      <c r="N170" s="342">
        <f>IFERROR($I170*VLOOKUP($H170,食材表!$A:E,5,FALSE),0)+IFERROR($I171*VLOOKUP($H171,食材表!$A:E,5,FALSE),0)+IFERROR($I172*VLOOKUP($H172,食材表!$A:E,5,FALSE),0)+IFERROR($K170*VLOOKUP($J170,食材表!$A:E,5,FALSE),0)+IFERROR($K171*VLOOKUP($J171,食材表!$A:E,5,FALSE),0)+IFERROR($K172*VLOOKUP($J172,食材表!$A:E,5,FALSE),0)</f>
        <v>0.58800000000000008</v>
      </c>
      <c r="O170" s="342">
        <f>IFERROR($I170*VLOOKUP($H170,食材表!$A:F,6,FALSE),0)+IFERROR($I171*VLOOKUP($H171,食材表!$A:F,6,FALSE),0)+IFERROR($I172*VLOOKUP($H172,食材表!$A:F,6,FALSE),0)+IFERROR($K170*VLOOKUP($J170,食材表!$A:F,6,FALSE),0)+IFERROR($K171*VLOOKUP($J171,食材表!$A:F,6,FALSE),0)+IFERROR($K172*VLOOKUP($J172,食材表!$A:F,6,FALSE),0)</f>
        <v>0</v>
      </c>
      <c r="P170" s="342">
        <f>IFERROR($I170*VLOOKUP($H170,食材表!$A:G,7,FALSE),0)+IFERROR($I171*VLOOKUP($H171,食材表!$A:G,7,FALSE),0)+IFERROR($I172*VLOOKUP($H172,食材表!$A:G,7,FALSE),0)+IFERROR($K170*VLOOKUP($J170,食材表!$A:G,7,FALSE),0)+IFERROR($K171*VLOOKUP($J171,食材表!$A:G,7,FALSE),0)+IFERROR($K172*VLOOKUP($J172,食材表!$A:G,7,FALSE),0)</f>
        <v>0</v>
      </c>
      <c r="Q170" s="342">
        <f>IFERROR($I170*VLOOKUP($H170,食材表!$A:H,8,FALSE),0)+IFERROR($I171*VLOOKUP($H171,食材表!$A:H,8,FALSE),0)+IFERROR($I172*VLOOKUP($H172,食材表!$A:H,8,FALSE),0)+IFERROR($K170*VLOOKUP($J170,食材表!$A:H,8,FALSE),0)+IFERROR($K171*VLOOKUP($J171,食材表!$A:H,8,FALSE),0)+IFERROR($K172*VLOOKUP($J172,食材表!$A:H,8,FALSE),0)</f>
        <v>0</v>
      </c>
      <c r="R170" s="342">
        <f>IFERROR($I170*VLOOKUP($H170,食材表!$A:I,9,FALSE),0)+IFERROR($I171*VLOOKUP($H171,食材表!$A:I,9,FALSE),0)+IFERROR($I172*VLOOKUP($H172,食材表!$A:I,9,FALSE),0)+IFERROR($K170*VLOOKUP($J170,食材表!$A:I,9,FALSE),0)+IFERROR($K171*VLOOKUP($J171,食材表!$A:I,9,FALSE),0)+IFERROR($K172*VLOOKUP($J172,食材表!$A:I,9,FALSE),0)</f>
        <v>0</v>
      </c>
      <c r="S170" s="342">
        <f>SUM(L170*70+M170*75+N170*120+O170*25+P170*60+Q170*45+R170*4)</f>
        <v>70.56</v>
      </c>
    </row>
    <row r="171" spans="1:19">
      <c r="A171" s="33" t="str">
        <f>"2"&amp;+$B170</f>
        <v>2鮮奶</v>
      </c>
      <c r="B171" s="350"/>
      <c r="C171" s="22"/>
      <c r="D171" s="36"/>
      <c r="E171" s="38"/>
      <c r="F171" s="36"/>
      <c r="G171" s="375"/>
      <c r="H171" s="93">
        <f t="shared" ref="H171:H172" si="116">C171</f>
        <v>0</v>
      </c>
      <c r="I171" s="86">
        <f>(2*IFERROR(MID(D171,FIND("2L*",D171)+3,1),0)+1*IFERROR(MID(D171,FIND("1L*",D171)+3,2),0))/$A$1</f>
        <v>0</v>
      </c>
      <c r="J171" s="93">
        <f t="shared" ref="J171:J172" si="117">E171</f>
        <v>0</v>
      </c>
      <c r="K171" s="86" t="str">
        <f>IFERROR(IF(LEN(F171)=LENB(F171),ROUND(LEFT(F171,2*LEN(F171)-LENB(F171))/$A$1,3),((ROUND(LEFT(F171,2*LEN(F171)-LENB(F171))/$A$1,3))*VLOOKUP(J171,食材表!$A:$B,2,FALSE))),"")</f>
        <v/>
      </c>
      <c r="L171" s="343"/>
      <c r="M171" s="343"/>
      <c r="N171" s="343"/>
      <c r="O171" s="343"/>
      <c r="P171" s="343"/>
      <c r="Q171" s="343"/>
      <c r="R171" s="343"/>
      <c r="S171" s="343"/>
    </row>
    <row r="172" spans="1:19">
      <c r="A172" s="33" t="str">
        <f>"3"&amp;+$B170</f>
        <v>3鮮奶</v>
      </c>
      <c r="B172" s="351"/>
      <c r="C172" s="23"/>
      <c r="D172" s="36"/>
      <c r="E172" s="23"/>
      <c r="F172" s="37"/>
      <c r="G172" s="376"/>
      <c r="H172" s="92">
        <f t="shared" si="116"/>
        <v>0</v>
      </c>
      <c r="I172" s="84" t="str">
        <f>IFERROR(IF(LEN(D172)=LENB(D172),ROUND(LEFT(D172,2*LEN(D172)-LENB(D172))/$A$1,3),((ROUND(LEFT(D172,2*LEN(D172)-LENB(D172))/$A$1,3))*VLOOKUP(H172,食材表!$A:$B,2,FALSE))),"")</f>
        <v/>
      </c>
      <c r="J172" s="92">
        <f t="shared" si="117"/>
        <v>0</v>
      </c>
      <c r="K172" s="85" t="str">
        <f>IFERROR(IF(LEN(F172)=LENB(F172),ROUND(LEFT(F172,2*LEN(F172)-LENB(F172))/$A$1,3),((ROUND(LEFT(F172,2*LEN(F172)-LENB(F172))/$A$1,3))*VLOOKUP(J172,食材表!$A:$B,2,FALSE))),"")</f>
        <v/>
      </c>
      <c r="L172" s="344"/>
      <c r="M172" s="344"/>
      <c r="N172" s="344"/>
      <c r="O172" s="344"/>
      <c r="P172" s="344"/>
      <c r="Q172" s="344"/>
      <c r="R172" s="344"/>
      <c r="S172" s="344"/>
    </row>
    <row r="173" spans="1:19">
      <c r="A173" s="33" t="str">
        <f>"1"&amp;+$B173</f>
        <v>1南瓜瘦肉粥</v>
      </c>
      <c r="B173" s="355" t="s">
        <v>1048</v>
      </c>
      <c r="C173" s="55" t="s">
        <v>354</v>
      </c>
      <c r="D173" s="56">
        <v>0.6</v>
      </c>
      <c r="E173" s="58"/>
      <c r="F173" s="56"/>
      <c r="G173" s="352" t="str">
        <f>B173</f>
        <v>南瓜瘦肉粥</v>
      </c>
      <c r="H173" s="91" t="str">
        <f>C173</f>
        <v>豬絞肉</v>
      </c>
      <c r="I173" s="83">
        <f>IFERROR(IF(LEN(D173)=LENB(D173),ROUND(LEFT(D173,2*LEN(D173)-LENB(D173))/$A$1,3),((ROUND(LEFT(D173,2*LEN(D173)-LENB(D173))/$A$1,3))*VLOOKUP(H173,食材表!$A:$B,2,FALSE))),"")</f>
        <v>1.2E-2</v>
      </c>
      <c r="J173" s="91">
        <f>E173</f>
        <v>0</v>
      </c>
      <c r="K173" s="83" t="str">
        <f>IFERROR(IF(LEN(F173)=LENB(F173),ROUND(LEFT(F173,2*LEN(F173)-LENB(F173))/$A$1,3),((ROUND(LEFT(F173,2*LEN(F173)-LENB(F173))/$A$1,3))*VLOOKUP(J173,食材表!$A:$B,2,FALSE))),"")</f>
        <v/>
      </c>
      <c r="L173" s="342">
        <f>IFERROR($I173*VLOOKUP($H173,食材表!$A:C,3,FALSE),0)+IFERROR($I174*VLOOKUP($H174,食材表!$A:C,3,FALSE),0)+IFERROR($I175*VLOOKUP($H175,食材表!$A:C,3,FALSE),0)+IFERROR($K173*VLOOKUP($J173,食材表!$A:C,3,FALSE),0)+IFERROR($K174*VLOOKUP($J174,食材表!$A:C,3,FALSE),0)+IFERROR($K175*VLOOKUP($J175,食材表!$A:C,3,FALSE),0)</f>
        <v>1.5647058823529414</v>
      </c>
      <c r="M173" s="342">
        <f>IFERROR($I173*VLOOKUP($H173,食材表!$A:D,4,FALSE),0)+IFERROR($I174*VLOOKUP($H174,食材表!$A:D,4,FALSE),0)+IFERROR($I175*VLOOKUP($H175,食材表!$A:D,4,FALSE),0)+IFERROR($K173*VLOOKUP($J173,食材表!$A:D,4,FALSE),0)+IFERROR($K174*VLOOKUP($J174,食材表!$A:D,4,FALSE),0)+IFERROR($K175*VLOOKUP($J175,食材表!$A:D,4,FALSE),0)</f>
        <v>0.34285714285714286</v>
      </c>
      <c r="N173" s="342">
        <f>IFERROR($I173*VLOOKUP($H173,食材表!$A:E,5,FALSE),0)+IFERROR($I174*VLOOKUP($H174,食材表!$A:E,5,FALSE),0)+IFERROR($I175*VLOOKUP($H175,食材表!$A:E,5,FALSE),0)+IFERROR($K173*VLOOKUP($J173,食材表!$A:E,5,FALSE),0)+IFERROR($K174*VLOOKUP($J174,食材表!$A:E,5,FALSE),0)+IFERROR($K175*VLOOKUP($J175,食材表!$A:E,5,FALSE),0)</f>
        <v>0</v>
      </c>
      <c r="O173" s="342">
        <f>IFERROR($I173*VLOOKUP($H173,食材表!$A:F,6,FALSE),0)+IFERROR($I174*VLOOKUP($H174,食材表!$A:F,6,FALSE),0)+IFERROR($I175*VLOOKUP($H175,食材表!$A:F,6,FALSE),0)+IFERROR($K173*VLOOKUP($J173,食材表!$A:F,6,FALSE),0)+IFERROR($K174*VLOOKUP($J174,食材表!$A:F,6,FALSE),0)+IFERROR($K175*VLOOKUP($J175,食材表!$A:F,6,FALSE),0)</f>
        <v>0</v>
      </c>
      <c r="P173" s="342">
        <f>IFERROR($I173*VLOOKUP($H173,食材表!$A:G,7,FALSE),0)+IFERROR($I174*VLOOKUP($H174,食材表!$A:G,7,FALSE),0)+IFERROR($I175*VLOOKUP($H175,食材表!$A:G,7,FALSE),0)+IFERROR($K173*VLOOKUP($J173,食材表!$A:G,7,FALSE),0)+IFERROR($K174*VLOOKUP($J174,食材表!$A:G,7,FALSE),0)+IFERROR($K175*VLOOKUP($J175,食材表!$A:G,7,FALSE),0)</f>
        <v>0</v>
      </c>
      <c r="Q173" s="342">
        <f>IFERROR($I173*VLOOKUP($H173,食材表!$A:H,8,FALSE),0)+IFERROR($I174*VLOOKUP($H174,食材表!$A:H,8,FALSE),0)+IFERROR($I175*VLOOKUP($H175,食材表!$A:H,8,FALSE),0)+IFERROR($K173*VLOOKUP($J173,食材表!$A:H,8,FALSE),0)+IFERROR($K174*VLOOKUP($J174,食材表!$A:H,8,FALSE),0)+IFERROR($K175*VLOOKUP($J175,食材表!$A:H,8,FALSE),0)</f>
        <v>0</v>
      </c>
      <c r="R173" s="342">
        <f>IFERROR($I173*VLOOKUP($H173,食材表!$A:I,9,FALSE),0)+IFERROR($I174*VLOOKUP($H174,食材表!$A:I,9,FALSE),0)+IFERROR($I175*VLOOKUP($H175,食材表!$A:I,9,FALSE),0)+IFERROR($K173*VLOOKUP($J173,食材表!$A:I,9,FALSE),0)+IFERROR($K174*VLOOKUP($J174,食材表!$A:I,9,FALSE),0)+IFERROR($K175*VLOOKUP($J175,食材表!$A:I,9,FALSE),0)</f>
        <v>0</v>
      </c>
      <c r="S173" s="342">
        <f>SUM(L173*70+M173*75+N173*120+O173*25+P173*60+Q173*45+R173*4)</f>
        <v>135.24369747899161</v>
      </c>
    </row>
    <row r="174" spans="1:19">
      <c r="A174" s="33" t="str">
        <f>"2"&amp;+$B173</f>
        <v>2南瓜瘦肉粥</v>
      </c>
      <c r="B174" s="356"/>
      <c r="C174" s="31" t="s">
        <v>1049</v>
      </c>
      <c r="D174" s="33">
        <v>2.4</v>
      </c>
      <c r="E174" s="27"/>
      <c r="F174" s="33"/>
      <c r="G174" s="353"/>
      <c r="H174" s="93" t="str">
        <f t="shared" ref="H174:H175" si="118">C174</f>
        <v>南瓜</v>
      </c>
      <c r="I174" s="86">
        <f>IFERROR(IF(LEN(D174)=LENB(D174),ROUND(LEFT(D174,2*LEN(D174)-LENB(D174))/$A$1,3),((ROUND(LEFT(D174,2*LEN(D174)-LENB(D174))/$A$1,3))*VLOOKUP(H174,食材表!$A:$B,2,FALSE))),"")</f>
        <v>4.8000000000000001E-2</v>
      </c>
      <c r="J174" s="93">
        <f t="shared" ref="J174:J175" si="119">E174</f>
        <v>0</v>
      </c>
      <c r="K174" s="86" t="str">
        <f>IFERROR(IF(LEN(F174)=LENB(F174),ROUND(LEFT(F174,2*LEN(F174)-LENB(F174))/$A$1,3),((ROUND(LEFT(F174,2*LEN(F174)-LENB(F174))/$A$1,3))*VLOOKUP(J174,食材表!$A:$B,2,FALSE))),"")</f>
        <v/>
      </c>
      <c r="L174" s="343"/>
      <c r="M174" s="343"/>
      <c r="N174" s="343"/>
      <c r="O174" s="343"/>
      <c r="P174" s="343"/>
      <c r="Q174" s="343"/>
      <c r="R174" s="343"/>
      <c r="S174" s="343"/>
    </row>
    <row r="175" spans="1:19">
      <c r="A175" s="33" t="str">
        <f>"3"&amp;+$B173</f>
        <v>3南瓜瘦肉粥</v>
      </c>
      <c r="B175" s="357"/>
      <c r="C175" s="28" t="s">
        <v>12</v>
      </c>
      <c r="D175" s="33">
        <v>1</v>
      </c>
      <c r="E175" s="29"/>
      <c r="F175" s="8"/>
      <c r="G175" s="354"/>
      <c r="H175" s="92" t="str">
        <f t="shared" si="118"/>
        <v>白米</v>
      </c>
      <c r="I175" s="84">
        <f>IFERROR(IF(LEN(D175)=LENB(D175),ROUND(LEFT(D175,2*LEN(D175)-LENB(D175))/$A$1,3),((ROUND(LEFT(D175,2*LEN(D175)-LENB(D175))/$A$1,3))*VLOOKUP(H175,食材表!$A:$B,2,FALSE))),"")</f>
        <v>0.02</v>
      </c>
      <c r="J175" s="92">
        <f t="shared" si="119"/>
        <v>0</v>
      </c>
      <c r="K175" s="85" t="str">
        <f>IFERROR(IF(LEN(F175)=LENB(F175),ROUND(LEFT(F175,2*LEN(F175)-LENB(F175))/$A$1,3),((ROUND(LEFT(F175,2*LEN(F175)-LENB(F175))/$A$1,3))*VLOOKUP(J175,食材表!$A:$B,2,FALSE))),"")</f>
        <v/>
      </c>
      <c r="L175" s="344"/>
      <c r="M175" s="344"/>
      <c r="N175" s="344"/>
      <c r="O175" s="344"/>
      <c r="P175" s="344"/>
      <c r="Q175" s="344"/>
      <c r="R175" s="344"/>
      <c r="S175" s="344"/>
    </row>
    <row r="176" spans="1:19">
      <c r="A176" s="33" t="str">
        <f>"1"&amp;+$B176</f>
        <v>1南瓜絞肉粥</v>
      </c>
      <c r="B176" s="349" t="s">
        <v>1080</v>
      </c>
      <c r="C176" s="60" t="s">
        <v>354</v>
      </c>
      <c r="D176" s="59">
        <v>0.6</v>
      </c>
      <c r="E176" s="60" t="s">
        <v>183</v>
      </c>
      <c r="F176" s="59">
        <v>0.1</v>
      </c>
      <c r="G176" s="352" t="str">
        <f t="shared" ref="G176" si="120">B176</f>
        <v>南瓜絞肉粥</v>
      </c>
      <c r="H176" s="91" t="str">
        <f>C176</f>
        <v>豬絞肉</v>
      </c>
      <c r="I176" s="83">
        <f>IFERROR(IF(LEN(D176)=LENB(D176),ROUND(LEFT(D176,2*LEN(D176)-LENB(D176))/$A$1,3),((ROUND(LEFT(D176,2*LEN(D176)-LENB(D176))/$A$1,3))*VLOOKUP(H176,食材表!$A:$B,2,FALSE))),"")</f>
        <v>1.2E-2</v>
      </c>
      <c r="J176" s="91" t="str">
        <f>E176</f>
        <v>薑絲</v>
      </c>
      <c r="K176" s="83">
        <f>IFERROR(IF(LEN(F176)=LENB(F176),ROUND(LEFT(F176,2*LEN(F176)-LENB(F176))/$A$1,3),((ROUND(LEFT(F176,2*LEN(F176)-LENB(F176))/$A$1,3))*VLOOKUP(J176,食材表!$A:$B,2,FALSE))),"")</f>
        <v>2E-3</v>
      </c>
      <c r="L176" s="342">
        <f>IFERROR($I176*VLOOKUP($H176,食材表!$A:C,3,FALSE),0)+IFERROR($I177*VLOOKUP($H177,食材表!$A:C,3,FALSE),0)+IFERROR($I178*VLOOKUP($H178,食材表!$A:C,3,FALSE),0)+IFERROR($K176*VLOOKUP($J176,食材表!$A:C,3,FALSE),0)+IFERROR($K177*VLOOKUP($J177,食材表!$A:C,3,FALSE),0)+IFERROR($K178*VLOOKUP($J178,食材表!$A:C,3,FALSE),0)</f>
        <v>1.4823529411764707</v>
      </c>
      <c r="M176" s="342">
        <f>IFERROR($I176*VLOOKUP($H176,食材表!$A:D,4,FALSE),0)+IFERROR($I177*VLOOKUP($H177,食材表!$A:D,4,FALSE),0)+IFERROR($I178*VLOOKUP($H178,食材表!$A:D,4,FALSE),0)+IFERROR($K176*VLOOKUP($J176,食材表!$A:D,4,FALSE),0)+IFERROR($K177*VLOOKUP($J177,食材表!$A:D,4,FALSE),0)+IFERROR($K178*VLOOKUP($J178,食材表!$A:D,4,FALSE),0)</f>
        <v>0.34285714285714286</v>
      </c>
      <c r="N176" s="342">
        <f>IFERROR($I176*VLOOKUP($H176,食材表!$A:E,5,FALSE),0)+IFERROR($I177*VLOOKUP($H177,食材表!$A:E,5,FALSE),0)+IFERROR($I178*VLOOKUP($H178,食材表!$A:E,5,FALSE),0)+IFERROR($K176*VLOOKUP($J176,食材表!$A:E,5,FALSE),0)+IFERROR($K177*VLOOKUP($J177,食材表!$A:E,5,FALSE),0)+IFERROR($K178*VLOOKUP($J178,食材表!$A:E,5,FALSE),0)</f>
        <v>0</v>
      </c>
      <c r="O176" s="342">
        <f>IFERROR($I176*VLOOKUP($H176,食材表!$A:F,6,FALSE),0)+IFERROR($I177*VLOOKUP($H177,食材表!$A:F,6,FALSE),0)+IFERROR($I178*VLOOKUP($H178,食材表!$A:F,6,FALSE),0)+IFERROR($K176*VLOOKUP($J176,食材表!$A:F,6,FALSE),0)+IFERROR($K177*VLOOKUP($J177,食材表!$A:F,6,FALSE),0)+IFERROR($K178*VLOOKUP($J178,食材表!$A:F,6,FALSE),0)</f>
        <v>0.02</v>
      </c>
      <c r="P176" s="342">
        <f>IFERROR($I176*VLOOKUP($H176,食材表!$A:G,7,FALSE),0)+IFERROR($I177*VLOOKUP($H177,食材表!$A:G,7,FALSE),0)+IFERROR($I178*VLOOKUP($H178,食材表!$A:G,7,FALSE),0)+IFERROR($K176*VLOOKUP($J176,食材表!$A:G,7,FALSE),0)+IFERROR($K177*VLOOKUP($J177,食材表!$A:G,7,FALSE),0)+IFERROR($K178*VLOOKUP($J178,食材表!$A:G,7,FALSE),0)</f>
        <v>0</v>
      </c>
      <c r="Q176" s="342">
        <f>IFERROR($I176*VLOOKUP($H176,食材表!$A:H,8,FALSE),0)+IFERROR($I177*VLOOKUP($H177,食材表!$A:H,8,FALSE),0)+IFERROR($I178*VLOOKUP($H178,食材表!$A:H,8,FALSE),0)+IFERROR($K176*VLOOKUP($J176,食材表!$A:H,8,FALSE),0)+IFERROR($K177*VLOOKUP($J177,食材表!$A:H,8,FALSE),0)+IFERROR($K178*VLOOKUP($J178,食材表!$A:H,8,FALSE),0)</f>
        <v>0</v>
      </c>
      <c r="R176" s="342">
        <f>IFERROR($I176*VLOOKUP($H176,食材表!$A:I,9,FALSE),0)+IFERROR($I177*VLOOKUP($H177,食材表!$A:I,9,FALSE),0)+IFERROR($I178*VLOOKUP($H178,食材表!$A:I,9,FALSE),0)+IFERROR($K176*VLOOKUP($J176,食材表!$A:I,9,FALSE),0)+IFERROR($K177*VLOOKUP($J177,食材表!$A:I,9,FALSE),0)+IFERROR($K178*VLOOKUP($J178,食材表!$A:I,9,FALSE),0)</f>
        <v>0</v>
      </c>
      <c r="S176" s="342">
        <f t="shared" ref="S176" si="121">SUM(L176*70+M176*75+N176*120+O176*25+P176*60+Q176*45+R176*4)</f>
        <v>129.97899159663865</v>
      </c>
    </row>
    <row r="177" spans="1:19">
      <c r="A177" s="33" t="str">
        <f>"2"&amp;+$B176</f>
        <v>2南瓜絞肉粥</v>
      </c>
      <c r="B177" s="383"/>
      <c r="C177" s="22" t="s">
        <v>1049</v>
      </c>
      <c r="D177" s="36">
        <v>1.2</v>
      </c>
      <c r="E177" s="31"/>
      <c r="F177" s="33"/>
      <c r="G177" s="353"/>
      <c r="H177" s="93" t="str">
        <f>C177</f>
        <v>南瓜</v>
      </c>
      <c r="I177" s="86">
        <f>IFERROR(IF(LEN(D177)=LENB(D177),ROUND(LEFT(D177,2*LEN(D177)-LENB(D177))/$A$1,3),((ROUND(LEFT(D177,2*LEN(D177)-LENB(D177))/$A$1,3))*VLOOKUP(H177,食材表!$A:$B,2,FALSE))),"")</f>
        <v>2.4E-2</v>
      </c>
      <c r="J177" s="93">
        <f>E177</f>
        <v>0</v>
      </c>
      <c r="K177" s="86" t="str">
        <f>IFERROR(IF(LEN(F177)=LENB(F177),ROUND(LEFT(F177,2*LEN(F177)-LENB(F177))/$A$1,3),((ROUND(LEFT(F177,2*LEN(F177)-LENB(F177))/$A$1,3))*VLOOKUP(J177,食材表!$A:$B,2,FALSE))),"")</f>
        <v/>
      </c>
      <c r="L177" s="343"/>
      <c r="M177" s="343"/>
      <c r="N177" s="343"/>
      <c r="O177" s="343"/>
      <c r="P177" s="343"/>
      <c r="Q177" s="343"/>
      <c r="R177" s="343"/>
      <c r="S177" s="343"/>
    </row>
    <row r="178" spans="1:19">
      <c r="A178" s="33" t="str">
        <f>"3"&amp;+$B176</f>
        <v>3南瓜絞肉粥</v>
      </c>
      <c r="B178" s="351"/>
      <c r="C178" s="28" t="s">
        <v>12</v>
      </c>
      <c r="D178" s="8">
        <v>1.2</v>
      </c>
      <c r="E178" s="26"/>
      <c r="F178" s="37"/>
      <c r="G178" s="354"/>
      <c r="H178" s="92" t="str">
        <f>C178</f>
        <v>白米</v>
      </c>
      <c r="I178" s="84">
        <f>IFERROR(IF(LEN(D178)=LENB(D178),ROUND(LEFT(D178,2*LEN(D178)-LENB(D178))/$A$1,3),((ROUND(LEFT(D178,2*LEN(D178)-LENB(D178))/$A$1,3))*VLOOKUP(H178,食材表!$A:$B,2,FALSE))),"")</f>
        <v>2.4E-2</v>
      </c>
      <c r="J178" s="92">
        <f>E178</f>
        <v>0</v>
      </c>
      <c r="K178" s="85" t="str">
        <f>IFERROR(IF(LEN(F178)=LENB(F178),ROUND(LEFT(F178,2*LEN(F178)-LENB(F178))/$A$1,3),((ROUND(LEFT(F178,2*LEN(F178)-LENB(F178))/$A$1,3))*VLOOKUP(J178,食材表!$A:$B,2,FALSE))),"")</f>
        <v/>
      </c>
      <c r="L178" s="344"/>
      <c r="M178" s="344"/>
      <c r="N178" s="344"/>
      <c r="O178" s="344"/>
      <c r="P178" s="344"/>
      <c r="Q178" s="344"/>
      <c r="R178" s="344"/>
      <c r="S178" s="344"/>
    </row>
    <row r="179" spans="1:19">
      <c r="A179" s="33" t="str">
        <f>"1"&amp;+$B179</f>
        <v>1蒲瓜鹹粥</v>
      </c>
      <c r="B179" s="350" t="s">
        <v>350</v>
      </c>
      <c r="C179" s="22" t="s">
        <v>351</v>
      </c>
      <c r="D179" s="36">
        <v>2</v>
      </c>
      <c r="E179" s="22" t="s">
        <v>352</v>
      </c>
      <c r="F179" s="36">
        <v>0.1</v>
      </c>
      <c r="G179" s="352" t="str">
        <f>B179</f>
        <v>蒲瓜鹹粥</v>
      </c>
      <c r="H179" s="91" t="str">
        <f>C179</f>
        <v>蒲瓜</v>
      </c>
      <c r="I179" s="83">
        <f>IFERROR(IF(LEN(D179)=LENB(D179),ROUND(LEFT(D179,2*LEN(D179)-LENB(D179))/$A$1,3),((ROUND(LEFT(D179,2*LEN(D179)-LENB(D179))/$A$1,3))*VLOOKUP(H179,食材表!$A:$B,2,FALSE))),"")</f>
        <v>0.04</v>
      </c>
      <c r="J179" s="91" t="str">
        <f>E179</f>
        <v>蝦皮</v>
      </c>
      <c r="K179" s="83">
        <f>IFERROR(IF(LEN(F179)=LENB(F179),ROUND(LEFT(F179,2*LEN(F179)-LENB(F179))/$A$1,3),((ROUND(LEFT(F179,2*LEN(F179)-LENB(F179))/$A$1,3))*VLOOKUP(J179,食材表!$A:$B,2,FALSE))),"")</f>
        <v>2E-3</v>
      </c>
      <c r="L179" s="342">
        <f>IFERROR($I179*VLOOKUP($H179,食材表!$A:C,3,FALSE),0)+IFERROR($I180*VLOOKUP($H180,食材表!$A:C,3,FALSE),0)+IFERROR($I181*VLOOKUP($H181,食材表!$A:C,3,FALSE),0)+IFERROR($K179*VLOOKUP($J179,食材表!$A:C,3,FALSE),0)+IFERROR($K180*VLOOKUP($J180,食材表!$A:C,3,FALSE),0)+IFERROR($K181*VLOOKUP($J181,食材表!$A:C,3,FALSE),0)</f>
        <v>1.2</v>
      </c>
      <c r="M179" s="342">
        <f>IFERROR($I179*VLOOKUP($H179,食材表!$A:D,4,FALSE),0)+IFERROR($I180*VLOOKUP($H180,食材表!$A:D,4,FALSE),0)+IFERROR($I181*VLOOKUP($H181,食材表!$A:D,4,FALSE),0)+IFERROR($K179*VLOOKUP($J179,食材表!$A:D,4,FALSE),0)+IFERROR($K180*VLOOKUP($J180,食材表!$A:D,4,FALSE),0)+IFERROR($K181*VLOOKUP($J181,食材表!$A:D,4,FALSE),0)</f>
        <v>0.52747252747252749</v>
      </c>
      <c r="N179" s="342">
        <f>IFERROR($I179*VLOOKUP($H179,食材表!$A:E,5,FALSE),0)+IFERROR($I180*VLOOKUP($H180,食材表!$A:E,5,FALSE),0)+IFERROR($I181*VLOOKUP($H181,食材表!$A:E,5,FALSE),0)+IFERROR($K179*VLOOKUP($J179,食材表!$A:E,5,FALSE),0)+IFERROR($K180*VLOOKUP($J180,食材表!$A:E,5,FALSE),0)+IFERROR($K181*VLOOKUP($J181,食材表!$A:E,5,FALSE),0)</f>
        <v>0</v>
      </c>
      <c r="O179" s="342">
        <f>IFERROR($I179*VLOOKUP($H179,食材表!$A:F,6,FALSE),0)+IFERROR($I180*VLOOKUP($H180,食材表!$A:F,6,FALSE),0)+IFERROR($I181*VLOOKUP($H181,食材表!$A:F,6,FALSE),0)+IFERROR($K179*VLOOKUP($J179,食材表!$A:F,6,FALSE),0)+IFERROR($K180*VLOOKUP($J180,食材表!$A:F,6,FALSE),0)+IFERROR($K181*VLOOKUP($J181,食材表!$A:F,6,FALSE),0)</f>
        <v>0.4</v>
      </c>
      <c r="P179" s="342">
        <f>IFERROR($I179*VLOOKUP($H179,食材表!$A:G,7,FALSE),0)+IFERROR($I180*VLOOKUP($H180,食材表!$A:G,7,FALSE),0)+IFERROR($I181*VLOOKUP($H181,食材表!$A:G,7,FALSE),0)+IFERROR($K179*VLOOKUP($J179,食材表!$A:G,7,FALSE),0)+IFERROR($K180*VLOOKUP($J180,食材表!$A:G,7,FALSE),0)+IFERROR($K181*VLOOKUP($J181,食材表!$A:G,7,FALSE),0)</f>
        <v>0</v>
      </c>
      <c r="Q179" s="342">
        <f>IFERROR($I179*VLOOKUP($H179,食材表!$A:H,8,FALSE),0)+IFERROR($I180*VLOOKUP($H180,食材表!$A:H,8,FALSE),0)+IFERROR($I181*VLOOKUP($H181,食材表!$A:H,8,FALSE),0)+IFERROR($K179*VLOOKUP($J179,食材表!$A:H,8,FALSE),0)+IFERROR($K180*VLOOKUP($J180,食材表!$A:H,8,FALSE),0)+IFERROR($K181*VLOOKUP($J181,食材表!$A:H,8,FALSE),0)</f>
        <v>0</v>
      </c>
      <c r="R179" s="342">
        <f>IFERROR($I179*VLOOKUP($H179,食材表!$A:I,9,FALSE),0)+IFERROR($I180*VLOOKUP($H180,食材表!$A:I,9,FALSE),0)+IFERROR($I181*VLOOKUP($H181,食材表!$A:I,9,FALSE),0)+IFERROR($K179*VLOOKUP($J179,食材表!$A:I,9,FALSE),0)+IFERROR($K180*VLOOKUP($J180,食材表!$A:I,9,FALSE),0)+IFERROR($K181*VLOOKUP($J181,食材表!$A:I,9,FALSE),0)</f>
        <v>0</v>
      </c>
      <c r="S179" s="342">
        <f>SUM(L179*70+M179*75+N179*120+O179*25+P179*60+Q179*45+R179*4)</f>
        <v>133.56043956043956</v>
      </c>
    </row>
    <row r="180" spans="1:19">
      <c r="A180" s="33" t="str">
        <f>"2"&amp;+$B179</f>
        <v>2蒲瓜鹹粥</v>
      </c>
      <c r="B180" s="383"/>
      <c r="C180" s="22" t="s">
        <v>353</v>
      </c>
      <c r="D180" s="36">
        <v>0.6</v>
      </c>
      <c r="E180" s="31" t="s">
        <v>12</v>
      </c>
      <c r="F180" s="33">
        <v>1.2</v>
      </c>
      <c r="G180" s="353"/>
      <c r="H180" s="93" t="str">
        <f t="shared" ref="H180:H181" si="122">C180</f>
        <v>雞蛋</v>
      </c>
      <c r="I180" s="86">
        <f>IFERROR(IF(LEN(D180)=LENB(D180),ROUND(LEFT(D180,2*LEN(D180)-LENB(D180))/$A$1,3),((ROUND(LEFT(D180,2*LEN(D180)-LENB(D180))/$A$1,3))*VLOOKUP(H180,食材表!$A:$B,2,FALSE))),"")</f>
        <v>1.2E-2</v>
      </c>
      <c r="J180" s="93" t="str">
        <f t="shared" ref="J180:J181" si="123">E180</f>
        <v>白米</v>
      </c>
      <c r="K180" s="86">
        <f>IFERROR(IF(LEN(F180)=LENB(F180),ROUND(LEFT(F180,2*LEN(F180)-LENB(F180))/$A$1,3),((ROUND(LEFT(F180,2*LEN(F180)-LENB(F180))/$A$1,3))*VLOOKUP(J180,食材表!$A:$B,2,FALSE))),"")</f>
        <v>2.4E-2</v>
      </c>
      <c r="L180" s="343"/>
      <c r="M180" s="343"/>
      <c r="N180" s="343"/>
      <c r="O180" s="343"/>
      <c r="P180" s="343"/>
      <c r="Q180" s="343"/>
      <c r="R180" s="343"/>
      <c r="S180" s="343"/>
    </row>
    <row r="181" spans="1:19">
      <c r="A181" s="33" t="str">
        <f>"3"&amp;+$B179</f>
        <v>3蒲瓜鹹粥</v>
      </c>
      <c r="B181" s="351"/>
      <c r="C181" s="26" t="s">
        <v>354</v>
      </c>
      <c r="D181" s="37">
        <v>0.6</v>
      </c>
      <c r="E181" s="26"/>
      <c r="F181" s="37"/>
      <c r="G181" s="354"/>
      <c r="H181" s="92" t="str">
        <f t="shared" si="122"/>
        <v>豬絞肉</v>
      </c>
      <c r="I181" s="84">
        <f>IFERROR(IF(LEN(D181)=LENB(D181),ROUND(LEFT(D181,2*LEN(D181)-LENB(D181))/$A$1,3),((ROUND(LEFT(D181,2*LEN(D181)-LENB(D181))/$A$1,3))*VLOOKUP(H181,食材表!$A:$B,2,FALSE))),"")</f>
        <v>1.2E-2</v>
      </c>
      <c r="J181" s="92">
        <f t="shared" si="123"/>
        <v>0</v>
      </c>
      <c r="K181" s="85" t="str">
        <f>IFERROR(IF(LEN(F181)=LENB(F181),ROUND(LEFT(F181,2*LEN(F181)-LENB(F181))/$A$1,3),((ROUND(LEFT(F181,2*LEN(F181)-LENB(F181))/$A$1,3))*VLOOKUP(J181,食材表!$A:$B,2,FALSE))),"")</f>
        <v/>
      </c>
      <c r="L181" s="344"/>
      <c r="M181" s="344"/>
      <c r="N181" s="344"/>
      <c r="O181" s="344"/>
      <c r="P181" s="344"/>
      <c r="Q181" s="344"/>
      <c r="R181" s="344"/>
      <c r="S181" s="344"/>
    </row>
    <row r="182" spans="1:19">
      <c r="A182" s="33" t="str">
        <f>"1"&amp;+$B182</f>
        <v>1香菇滑雞粥</v>
      </c>
      <c r="B182" s="356" t="s">
        <v>363</v>
      </c>
      <c r="C182" s="31" t="s">
        <v>204</v>
      </c>
      <c r="D182" s="33">
        <v>0.6</v>
      </c>
      <c r="E182" s="27" t="s">
        <v>12</v>
      </c>
      <c r="F182" s="33">
        <v>0.6</v>
      </c>
      <c r="G182" s="352" t="str">
        <f t="shared" ref="G182" si="124">B182</f>
        <v>香菇滑雞粥</v>
      </c>
      <c r="H182" s="91" t="str">
        <f t="shared" ref="H182:H191" si="125">C182</f>
        <v>雞腿仁丁</v>
      </c>
      <c r="I182" s="83">
        <f>IFERROR(IF(LEN(D182)=LENB(D182),ROUND(LEFT(D182,2*LEN(D182)-LENB(D182))/$A$1,3),((ROUND(LEFT(D182,2*LEN(D182)-LENB(D182))/$A$1,3))*VLOOKUP(H182,食材表!$A:$B,2,FALSE))),"")</f>
        <v>1.2E-2</v>
      </c>
      <c r="J182" s="91" t="str">
        <f t="shared" ref="J182:J191" si="126">E182</f>
        <v>白米</v>
      </c>
      <c r="K182" s="83">
        <f>IFERROR(IF(LEN(F182)=LENB(F182),ROUND(LEFT(F182,2*LEN(F182)-LENB(F182))/$A$1,3),((ROUND(LEFT(F182,2*LEN(F182)-LENB(F182))/$A$1,3))*VLOOKUP(J182,食材表!$A:$B,2,FALSE))),"")</f>
        <v>1.2E-2</v>
      </c>
      <c r="L182" s="342">
        <f>IFERROR($I182*VLOOKUP($H182,食材表!$A:C,3,FALSE),0)+IFERROR($I183*VLOOKUP($H183,食材表!$A:C,3,FALSE),0)+IFERROR($I184*VLOOKUP($H184,食材表!$A:C,3,FALSE),0)+IFERROR($K182*VLOOKUP($J182,食材表!$A:C,3,FALSE),0)+IFERROR($K183*VLOOKUP($J183,食材表!$A:C,3,FALSE),0)+IFERROR($K184*VLOOKUP($J184,食材表!$A:C,3,FALSE),0)</f>
        <v>0.6</v>
      </c>
      <c r="M182" s="342">
        <f>IFERROR($I182*VLOOKUP($H182,食材表!$A:D,4,FALSE),0)+IFERROR($I183*VLOOKUP($H183,食材表!$A:D,4,FALSE),0)+IFERROR($I184*VLOOKUP($H184,食材表!$A:D,4,FALSE),0)+IFERROR($K182*VLOOKUP($J182,食材表!$A:D,4,FALSE),0)+IFERROR($K183*VLOOKUP($J183,食材表!$A:D,4,FALSE),0)+IFERROR($K184*VLOOKUP($J184,食材表!$A:D,4,FALSE),0)</f>
        <v>0.48461538461538461</v>
      </c>
      <c r="N182" s="342">
        <f>IFERROR($I182*VLOOKUP($H182,食材表!$A:E,5,FALSE),0)+IFERROR($I183*VLOOKUP($H183,食材表!$A:E,5,FALSE),0)+IFERROR($I184*VLOOKUP($H184,食材表!$A:E,5,FALSE),0)+IFERROR($K182*VLOOKUP($J182,食材表!$A:E,5,FALSE),0)+IFERROR($K183*VLOOKUP($J183,食材表!$A:E,5,FALSE),0)+IFERROR($K184*VLOOKUP($J184,食材表!$A:E,5,FALSE),0)</f>
        <v>0</v>
      </c>
      <c r="O182" s="342">
        <f>IFERROR($I182*VLOOKUP($H182,食材表!$A:F,6,FALSE),0)+IFERROR($I183*VLOOKUP($H183,食材表!$A:F,6,FALSE),0)+IFERROR($I184*VLOOKUP($H184,食材表!$A:F,6,FALSE),0)+IFERROR($K182*VLOOKUP($J182,食材表!$A:F,6,FALSE),0)+IFERROR($K183*VLOOKUP($J183,食材表!$A:F,6,FALSE),0)+IFERROR($K184*VLOOKUP($J184,食材表!$A:F,6,FALSE),0)</f>
        <v>0.2</v>
      </c>
      <c r="P182" s="342">
        <f>IFERROR($I182*VLOOKUP($H182,食材表!$A:G,7,FALSE),0)+IFERROR($I183*VLOOKUP($H183,食材表!$A:G,7,FALSE),0)+IFERROR($I184*VLOOKUP($H184,食材表!$A:G,7,FALSE),0)+IFERROR($K182*VLOOKUP($J182,食材表!$A:G,7,FALSE),0)+IFERROR($K183*VLOOKUP($J183,食材表!$A:G,7,FALSE),0)+IFERROR($K184*VLOOKUP($J184,食材表!$A:G,7,FALSE),0)</f>
        <v>0</v>
      </c>
      <c r="Q182" s="342">
        <f>IFERROR($I182*VLOOKUP($H182,食材表!$A:H,8,FALSE),0)+IFERROR($I183*VLOOKUP($H183,食材表!$A:H,8,FALSE),0)+IFERROR($I184*VLOOKUP($H184,食材表!$A:H,8,FALSE),0)+IFERROR($K182*VLOOKUP($J182,食材表!$A:H,8,FALSE),0)+IFERROR($K183*VLOOKUP($J183,食材表!$A:H,8,FALSE),0)+IFERROR($K184*VLOOKUP($J184,食材表!$A:H,8,FALSE),0)</f>
        <v>0</v>
      </c>
      <c r="R182" s="342">
        <f>IFERROR($I182*VLOOKUP($H182,食材表!$A:I,9,FALSE),0)+IFERROR($I183*VLOOKUP($H183,食材表!$A:I,9,FALSE),0)+IFERROR($I184*VLOOKUP($H184,食材表!$A:I,9,FALSE),0)+IFERROR($K182*VLOOKUP($J182,食材表!$A:I,9,FALSE),0)+IFERROR($K183*VLOOKUP($J183,食材表!$A:I,9,FALSE),0)+IFERROR($K184*VLOOKUP($J184,食材表!$A:I,9,FALSE),0)</f>
        <v>0</v>
      </c>
      <c r="S182" s="342">
        <f t="shared" ref="S182" si="127">SUM(L182*70+M182*75+N182*120+O182*25+P182*60+Q182*45+R182*4)</f>
        <v>83.34615384615384</v>
      </c>
    </row>
    <row r="183" spans="1:19">
      <c r="A183" s="33" t="str">
        <f>"2"&amp;+$B182</f>
        <v>2香菇滑雞粥</v>
      </c>
      <c r="B183" s="390"/>
      <c r="C183" s="49" t="s">
        <v>52</v>
      </c>
      <c r="D183" s="33">
        <v>0.2</v>
      </c>
      <c r="E183" s="27" t="s">
        <v>46</v>
      </c>
      <c r="F183" s="33">
        <v>0.8</v>
      </c>
      <c r="G183" s="353"/>
      <c r="H183" s="93" t="str">
        <f t="shared" si="125"/>
        <v>生香菇</v>
      </c>
      <c r="I183" s="86">
        <f>IFERROR(IF(LEN(D183)=LENB(D183),ROUND(LEFT(D183,2*LEN(D183)-LENB(D183))/$A$1,3),((ROUND(LEFT(D183,2*LEN(D183)-LENB(D183))/$A$1,3))*VLOOKUP(H183,食材表!$A:$B,2,FALSE))),"")</f>
        <v>4.0000000000000001E-3</v>
      </c>
      <c r="J183" s="93" t="str">
        <f t="shared" si="126"/>
        <v>高麗菜</v>
      </c>
      <c r="K183" s="86">
        <f>IFERROR(IF(LEN(F183)=LENB(F183),ROUND(LEFT(F183,2*LEN(F183)-LENB(F183))/$A$1,3),((ROUND(LEFT(F183,2*LEN(F183)-LENB(F183))/$A$1,3))*VLOOKUP(J183,食材表!$A:$B,2,FALSE))),"")</f>
        <v>1.6E-2</v>
      </c>
      <c r="L183" s="343"/>
      <c r="M183" s="343"/>
      <c r="N183" s="343"/>
      <c r="O183" s="343"/>
      <c r="P183" s="343"/>
      <c r="Q183" s="343"/>
      <c r="R183" s="343"/>
      <c r="S183" s="343"/>
    </row>
    <row r="184" spans="1:19">
      <c r="A184" s="33" t="str">
        <f>"3"&amp;+$B182</f>
        <v>3香菇滑雞粥</v>
      </c>
      <c r="B184" s="357"/>
      <c r="C184" s="28" t="s">
        <v>48</v>
      </c>
      <c r="D184" s="8">
        <v>0.6</v>
      </c>
      <c r="E184" s="29" t="s">
        <v>1074</v>
      </c>
      <c r="F184" s="8">
        <v>0.6</v>
      </c>
      <c r="G184" s="354"/>
      <c r="H184" s="92" t="str">
        <f t="shared" si="125"/>
        <v>雞蛋</v>
      </c>
      <c r="I184" s="84">
        <f>IFERROR(IF(LEN(D184)=LENB(D184),ROUND(LEFT(D184,2*LEN(D184)-LENB(D184))/$A$1,3),((ROUND(LEFT(D184,2*LEN(D184)-LENB(D184))/$A$1,3))*VLOOKUP(H184,食材表!$A:$B,2,FALSE))),"")</f>
        <v>1.2E-2</v>
      </c>
      <c r="J184" s="92" t="str">
        <f t="shared" si="126"/>
        <v>糙米(提前一天送)</v>
      </c>
      <c r="K184" s="85">
        <f>IFERROR(IF(LEN(F184)=LENB(F184),ROUND(LEFT(F184,2*LEN(F184)-LENB(F184))/$A$1,3),((ROUND(LEFT(F184,2*LEN(F184)-LENB(F184))/$A$1,3))*VLOOKUP(J184,食材表!$A:$B,2,FALSE))),"")</f>
        <v>1.2E-2</v>
      </c>
      <c r="L184" s="344"/>
      <c r="M184" s="344"/>
      <c r="N184" s="344"/>
      <c r="O184" s="344"/>
      <c r="P184" s="344"/>
      <c r="Q184" s="344"/>
      <c r="R184" s="344"/>
      <c r="S184" s="344"/>
    </row>
    <row r="185" spans="1:19">
      <c r="A185" s="33" t="str">
        <f>"1"&amp;+$B185</f>
        <v>1吻魚蛋花粥</v>
      </c>
      <c r="B185" s="356" t="s">
        <v>1090</v>
      </c>
      <c r="C185" s="31" t="s">
        <v>338</v>
      </c>
      <c r="D185" s="33">
        <v>0.6</v>
      </c>
      <c r="E185" s="27" t="s">
        <v>439</v>
      </c>
      <c r="F185" s="33">
        <v>0.6</v>
      </c>
      <c r="G185" s="352" t="str">
        <f>B185</f>
        <v>吻魚蛋花粥</v>
      </c>
      <c r="H185" s="91" t="str">
        <f t="shared" si="125"/>
        <v>吻仔魚</v>
      </c>
      <c r="I185" s="83">
        <f>IFERROR(IF(LEN(D185)=LENB(D185),ROUND(LEFT(D185,2*LEN(D185)-LENB(D185))/$A$1,3),((ROUND(LEFT(D185,2*LEN(D185)-LENB(D185))/$A$1,3))*VLOOKUP(H185,食材表!$A:$B,2,FALSE))),"")</f>
        <v>1.2E-2</v>
      </c>
      <c r="J185" s="91" t="str">
        <f t="shared" si="126"/>
        <v>菠菜</v>
      </c>
      <c r="K185" s="83">
        <f>IFERROR(IF(LEN(F185)=LENB(F185),ROUND(LEFT(F185,2*LEN(F185)-LENB(F185))/$A$1,3),((ROUND(LEFT(F185,2*LEN(F185)-LENB(F185))/$A$1,3))*VLOOKUP(J185,食材表!$A:$B,2,FALSE))),"")</f>
        <v>1.2E-2</v>
      </c>
      <c r="L185" s="342">
        <f>IFERROR($I185*VLOOKUP($H185,食材表!$A:C,3,FALSE),0)+IFERROR($I186*VLOOKUP($H186,食材表!$A:C,3,FALSE),0)+IFERROR($I187*VLOOKUP($H187,食材表!$A:C,3,FALSE),0)+IFERROR($K185*VLOOKUP($J185,食材表!$A:C,3,FALSE),0)+IFERROR($K186*VLOOKUP($J186,食材表!$A:C,3,FALSE),0)+IFERROR($K187*VLOOKUP($J187,食材表!$A:C,3,FALSE),0)</f>
        <v>1.2</v>
      </c>
      <c r="M185" s="342">
        <f>IFERROR($I185*VLOOKUP($H185,食材表!$A:D,4,FALSE),0)+IFERROR($I186*VLOOKUP($H186,食材表!$A:D,4,FALSE),0)+IFERROR($I187*VLOOKUP($H187,食材表!$A:D,4,FALSE),0)+IFERROR($K185*VLOOKUP($J185,食材表!$A:D,4,FALSE),0)+IFERROR($K186*VLOOKUP($J186,食材表!$A:D,4,FALSE),0)+IFERROR($K187*VLOOKUP($J187,食材表!$A:D,4,FALSE),0)</f>
        <v>0.52747252747252749</v>
      </c>
      <c r="N185" s="342">
        <f>IFERROR($I185*VLOOKUP($H185,食材表!$A:E,5,FALSE),0)+IFERROR($I186*VLOOKUP($H186,食材表!$A:E,5,FALSE),0)+IFERROR($I187*VLOOKUP($H187,食材表!$A:E,5,FALSE),0)+IFERROR($K185*VLOOKUP($J185,食材表!$A:E,5,FALSE),0)+IFERROR($K186*VLOOKUP($J186,食材表!$A:E,5,FALSE),0)+IFERROR($K187*VLOOKUP($J187,食材表!$A:E,5,FALSE),0)</f>
        <v>0</v>
      </c>
      <c r="O185" s="342">
        <f>IFERROR($I185*VLOOKUP($H185,食材表!$A:F,6,FALSE),0)+IFERROR($I186*VLOOKUP($H186,食材表!$A:F,6,FALSE),0)+IFERROR($I187*VLOOKUP($H187,食材表!$A:F,6,FALSE),0)+IFERROR($K185*VLOOKUP($J185,食材表!$A:F,6,FALSE),0)+IFERROR($K186*VLOOKUP($J186,食材表!$A:F,6,FALSE),0)+IFERROR($K187*VLOOKUP($J187,食材表!$A:F,6,FALSE),0)</f>
        <v>0.12</v>
      </c>
      <c r="P185" s="342">
        <f>IFERROR($I185*VLOOKUP($H185,食材表!$A:G,7,FALSE),0)+IFERROR($I186*VLOOKUP($H186,食材表!$A:G,7,FALSE),0)+IFERROR($I187*VLOOKUP($H187,食材表!$A:G,7,FALSE),0)+IFERROR($K185*VLOOKUP($J185,食材表!$A:G,7,FALSE),0)+IFERROR($K186*VLOOKUP($J186,食材表!$A:G,7,FALSE),0)+IFERROR($K187*VLOOKUP($J187,食材表!$A:G,7,FALSE),0)</f>
        <v>0</v>
      </c>
      <c r="Q185" s="342">
        <f>IFERROR($I185*VLOOKUP($H185,食材表!$A:H,8,FALSE),0)+IFERROR($I186*VLOOKUP($H186,食材表!$A:H,8,FALSE),0)+IFERROR($I187*VLOOKUP($H187,食材表!$A:H,8,FALSE),0)+IFERROR($K185*VLOOKUP($J185,食材表!$A:H,8,FALSE),0)+IFERROR($K186*VLOOKUP($J186,食材表!$A:H,8,FALSE),0)+IFERROR($K187*VLOOKUP($J187,食材表!$A:H,8,FALSE),0)</f>
        <v>0</v>
      </c>
      <c r="R185" s="342">
        <f>IFERROR($I185*VLOOKUP($H185,食材表!$A:I,9,FALSE),0)+IFERROR($I186*VLOOKUP($H186,食材表!$A:I,9,FALSE),0)+IFERROR($I187*VLOOKUP($H187,食材表!$A:I,9,FALSE),0)+IFERROR($K185*VLOOKUP($J185,食材表!$A:I,9,FALSE),0)+IFERROR($K186*VLOOKUP($J186,食材表!$A:I,9,FALSE),0)+IFERROR($K187*VLOOKUP($J187,食材表!$A:I,9,FALSE),0)</f>
        <v>0</v>
      </c>
      <c r="S185" s="342">
        <f t="shared" ref="S185" si="128">SUM(L185*70+M185*75+N185*120+O185*25+P185*60+Q185*45+R185*4)</f>
        <v>126.56043956043956</v>
      </c>
    </row>
    <row r="186" spans="1:19">
      <c r="A186" s="33" t="str">
        <f>"2"&amp;+$B185</f>
        <v>2吻魚蛋花粥</v>
      </c>
      <c r="B186" s="390"/>
      <c r="C186" s="49" t="s">
        <v>48</v>
      </c>
      <c r="D186" s="33">
        <v>0.6</v>
      </c>
      <c r="E186" s="22"/>
      <c r="F186" s="33"/>
      <c r="G186" s="353"/>
      <c r="H186" s="93" t="str">
        <f t="shared" si="125"/>
        <v>雞蛋</v>
      </c>
      <c r="I186" s="86">
        <f>IFERROR(IF(LEN(D186)=LENB(D186),ROUND(LEFT(D186,2*LEN(D186)-LENB(D186))/$A$1,3),((ROUND(LEFT(D186,2*LEN(D186)-LENB(D186))/$A$1,3))*VLOOKUP(H186,食材表!$A:$B,2,FALSE))),"")</f>
        <v>1.2E-2</v>
      </c>
      <c r="J186" s="93">
        <f t="shared" si="126"/>
        <v>0</v>
      </c>
      <c r="K186" s="86" t="str">
        <f>IFERROR(IF(LEN(F186)=LENB(F186),ROUND(LEFT(F186,2*LEN(F186)-LENB(F186))/$A$1,3),((ROUND(LEFT(F186,2*LEN(F186)-LENB(F186))/$A$1,3))*VLOOKUP(J186,食材表!$A:$B,2,FALSE))),"")</f>
        <v/>
      </c>
      <c r="L186" s="343"/>
      <c r="M186" s="343"/>
      <c r="N186" s="343"/>
      <c r="O186" s="343"/>
      <c r="P186" s="343"/>
      <c r="Q186" s="343"/>
      <c r="R186" s="343"/>
      <c r="S186" s="343"/>
    </row>
    <row r="187" spans="1:19">
      <c r="A187" s="33" t="str">
        <f>"3"&amp;+$B185</f>
        <v>3吻魚蛋花粥</v>
      </c>
      <c r="B187" s="357"/>
      <c r="C187" s="28" t="s">
        <v>12</v>
      </c>
      <c r="D187" s="33">
        <v>1.2</v>
      </c>
      <c r="E187" s="29"/>
      <c r="F187" s="8"/>
      <c r="G187" s="354"/>
      <c r="H187" s="92" t="str">
        <f t="shared" si="125"/>
        <v>白米</v>
      </c>
      <c r="I187" s="84">
        <f>IFERROR(IF(LEN(D187)=LENB(D187),ROUND(LEFT(D187,2*LEN(D187)-LENB(D187))/$A$1,3),((ROUND(LEFT(D187,2*LEN(D187)-LENB(D187))/$A$1,3))*VLOOKUP(H187,食材表!$A:$B,2,FALSE))),"")</f>
        <v>2.4E-2</v>
      </c>
      <c r="J187" s="92">
        <f t="shared" si="126"/>
        <v>0</v>
      </c>
      <c r="K187" s="85" t="str">
        <f>IFERROR(IF(LEN(F187)=LENB(F187),ROUND(LEFT(F187,2*LEN(F187)-LENB(F187))/$A$1,3),((ROUND(LEFT(F187,2*LEN(F187)-LENB(F187))/$A$1,3))*VLOOKUP(J187,食材表!$A:$B,2,FALSE))),"")</f>
        <v/>
      </c>
      <c r="L187" s="344"/>
      <c r="M187" s="344"/>
      <c r="N187" s="344"/>
      <c r="O187" s="344"/>
      <c r="P187" s="344"/>
      <c r="Q187" s="344"/>
      <c r="R187" s="344"/>
      <c r="S187" s="344"/>
    </row>
    <row r="188" spans="1:19">
      <c r="A188" s="33" t="str">
        <f>"1"&amp;+$B188</f>
        <v>1翡翠雞茸粥</v>
      </c>
      <c r="B188" s="355" t="s">
        <v>1096</v>
      </c>
      <c r="C188" s="55" t="s">
        <v>429</v>
      </c>
      <c r="D188" s="56">
        <v>0.6</v>
      </c>
      <c r="E188" s="58" t="s">
        <v>439</v>
      </c>
      <c r="F188" s="56">
        <v>0.6</v>
      </c>
      <c r="G188" s="352" t="str">
        <f t="shared" ref="G188" si="129">B188</f>
        <v>翡翠雞茸粥</v>
      </c>
      <c r="H188" s="91" t="str">
        <f>C188</f>
        <v>雞絞肉</v>
      </c>
      <c r="I188" s="83">
        <f>IFERROR(IF(LEN(D188)=LENB(D188),ROUND(LEFT(D188,2*LEN(D188)-LENB(D188))/$A$1,3),((ROUND(LEFT(D188,2*LEN(D188)-LENB(D188))/$A$1,3))*VLOOKUP(H188,食材表!$A:$B,2,FALSE))),"")</f>
        <v>1.2E-2</v>
      </c>
      <c r="J188" s="91" t="str">
        <f>E188</f>
        <v>菠菜</v>
      </c>
      <c r="K188" s="83">
        <f>IFERROR(IF(LEN(F188)=LENB(F188),ROUND(LEFT(F188,2*LEN(F188)-LENB(F188))/$A$1,3),((ROUND(LEFT(F188,2*LEN(F188)-LENB(F188))/$A$1,3))*VLOOKUP(J188,食材表!$A:$B,2,FALSE))),"")</f>
        <v>1.2E-2</v>
      </c>
      <c r="L188" s="342">
        <f>IFERROR($I188*VLOOKUP($H188,食材表!$A:C,3,FALSE),0)+IFERROR($I189*VLOOKUP($H189,食材表!$A:C,3,FALSE),0)+IFERROR($I190*VLOOKUP($H190,食材表!$A:C,3,FALSE),0)+IFERROR($K188*VLOOKUP($J188,食材表!$A:C,3,FALSE),0)+IFERROR($K189*VLOOKUP($J189,食材表!$A:C,3,FALSE),0)+IFERROR($K190*VLOOKUP($J190,食材表!$A:C,3,FALSE),0)</f>
        <v>1.3599999999999999</v>
      </c>
      <c r="M188" s="342">
        <f>IFERROR($I188*VLOOKUP($H188,食材表!$A:D,4,FALSE),0)+IFERROR($I189*VLOOKUP($H189,食材表!$A:D,4,FALSE),0)+IFERROR($I190*VLOOKUP($H190,食材表!$A:D,4,FALSE),0)+IFERROR($K188*VLOOKUP($J188,食材表!$A:D,4,FALSE),0)+IFERROR($K189*VLOOKUP($J189,食材表!$A:D,4,FALSE),0)+IFERROR($K190*VLOOKUP($J190,食材表!$A:D,4,FALSE),0)</f>
        <v>0.4</v>
      </c>
      <c r="N188" s="342">
        <f>IFERROR($I188*VLOOKUP($H188,食材表!$A:E,5,FALSE),0)+IFERROR($I189*VLOOKUP($H189,食材表!$A:E,5,FALSE),0)+IFERROR($I190*VLOOKUP($H190,食材表!$A:E,5,FALSE),0)+IFERROR($K188*VLOOKUP($J188,食材表!$A:E,5,FALSE),0)+IFERROR($K189*VLOOKUP($J189,食材表!$A:E,5,FALSE),0)+IFERROR($K190*VLOOKUP($J190,食材表!$A:E,5,FALSE),0)</f>
        <v>0</v>
      </c>
      <c r="O188" s="342">
        <f>IFERROR($I188*VLOOKUP($H188,食材表!$A:F,6,FALSE),0)+IFERROR($I189*VLOOKUP($H189,食材表!$A:F,6,FALSE),0)+IFERROR($I190*VLOOKUP($H190,食材表!$A:F,6,FALSE),0)+IFERROR($K188*VLOOKUP($J188,食材表!$A:F,6,FALSE),0)+IFERROR($K189*VLOOKUP($J189,食材表!$A:F,6,FALSE),0)+IFERROR($K190*VLOOKUP($J190,食材表!$A:F,6,FALSE),0)</f>
        <v>0.16</v>
      </c>
      <c r="P188" s="342">
        <f>IFERROR($I188*VLOOKUP($H188,食材表!$A:G,7,FALSE),0)+IFERROR($I189*VLOOKUP($H189,食材表!$A:G,7,FALSE),0)+IFERROR($I190*VLOOKUP($H190,食材表!$A:G,7,FALSE),0)+IFERROR($K188*VLOOKUP($J188,食材表!$A:G,7,FALSE),0)+IFERROR($K189*VLOOKUP($J189,食材表!$A:G,7,FALSE),0)+IFERROR($K190*VLOOKUP($J190,食材表!$A:G,7,FALSE),0)</f>
        <v>0</v>
      </c>
      <c r="Q188" s="342">
        <f>IFERROR($I188*VLOOKUP($H188,食材表!$A:H,8,FALSE),0)+IFERROR($I189*VLOOKUP($H189,食材表!$A:H,8,FALSE),0)+IFERROR($I190*VLOOKUP($H190,食材表!$A:H,8,FALSE),0)+IFERROR($K188*VLOOKUP($J188,食材表!$A:H,8,FALSE),0)+IFERROR($K189*VLOOKUP($J189,食材表!$A:H,8,FALSE),0)+IFERROR($K190*VLOOKUP($J190,食材表!$A:H,8,FALSE),0)</f>
        <v>0</v>
      </c>
      <c r="R188" s="342">
        <f>IFERROR($I188*VLOOKUP($H188,食材表!$A:I,9,FALSE),0)+IFERROR($I189*VLOOKUP($H189,食材表!$A:I,9,FALSE),0)+IFERROR($I190*VLOOKUP($H190,食材表!$A:I,9,FALSE),0)+IFERROR($K188*VLOOKUP($J188,食材表!$A:I,9,FALSE),0)+IFERROR($K189*VLOOKUP($J189,食材表!$A:I,9,FALSE),0)+IFERROR($K190*VLOOKUP($J190,食材表!$A:I,9,FALSE),0)</f>
        <v>0</v>
      </c>
      <c r="S188" s="342">
        <f t="shared" ref="S188" si="130">SUM(L188*70+M188*75+N188*120+O188*25+P188*60+Q188*45+R188*4)</f>
        <v>129.19999999999999</v>
      </c>
    </row>
    <row r="189" spans="1:19">
      <c r="A189" s="33" t="str">
        <f>"2"&amp;+$B188</f>
        <v>2翡翠雞茸粥</v>
      </c>
      <c r="B189" s="356"/>
      <c r="C189" s="31" t="s">
        <v>194</v>
      </c>
      <c r="D189" s="33" t="s">
        <v>1097</v>
      </c>
      <c r="E189" s="27" t="s">
        <v>75</v>
      </c>
      <c r="F189" s="33">
        <v>0.2</v>
      </c>
      <c r="G189" s="353"/>
      <c r="H189" s="93" t="str">
        <f>C189</f>
        <v>玉米粒</v>
      </c>
      <c r="I189" s="86">
        <f>IFERROR(IF(LEN(D189)=LENB(D189),ROUND(LEFT(D189,2*LEN(D189)-LENB(D189))/$A$1,3),((ROUND(LEFT(D189,2*LEN(D189)-LENB(D189))/$A$1,3))*VLOOKUP(H189,食材表!$A:$B,2,FALSE))),"")</f>
        <v>1.3600000000000001E-2</v>
      </c>
      <c r="J189" s="93" t="str">
        <f>E189</f>
        <v>紅蘿蔔</v>
      </c>
      <c r="K189" s="86">
        <f>IFERROR(IF(LEN(F189)=LENB(F189),ROUND(LEFT(F189,2*LEN(F189)-LENB(F189))/$A$1,3),((ROUND(LEFT(F189,2*LEN(F189)-LENB(F189))/$A$1,3))*VLOOKUP(J189,食材表!$A:$B,2,FALSE))),"")</f>
        <v>4.0000000000000001E-3</v>
      </c>
      <c r="L189" s="343"/>
      <c r="M189" s="343"/>
      <c r="N189" s="343"/>
      <c r="O189" s="343"/>
      <c r="P189" s="343"/>
      <c r="Q189" s="343"/>
      <c r="R189" s="343"/>
      <c r="S189" s="343"/>
    </row>
    <row r="190" spans="1:19">
      <c r="A190" s="33" t="str">
        <f>"3"&amp;+$B188</f>
        <v>3翡翠雞茸粥</v>
      </c>
      <c r="B190" s="357"/>
      <c r="C190" s="28" t="s">
        <v>12</v>
      </c>
      <c r="D190" s="8">
        <v>1.2</v>
      </c>
      <c r="E190" s="29"/>
      <c r="F190" s="8"/>
      <c r="G190" s="354"/>
      <c r="H190" s="92" t="str">
        <f>C190</f>
        <v>白米</v>
      </c>
      <c r="I190" s="84">
        <f>IFERROR(IF(LEN(D190)=LENB(D190),ROUND(LEFT(D190,2*LEN(D190)-LENB(D190))/$A$1,3),((ROUND(LEFT(D190,2*LEN(D190)-LENB(D190))/$A$1,3))*VLOOKUP(H190,食材表!$A:$B,2,FALSE))),"")</f>
        <v>2.4E-2</v>
      </c>
      <c r="J190" s="92">
        <f>E190</f>
        <v>0</v>
      </c>
      <c r="K190" s="85" t="str">
        <f>IFERROR(IF(LEN(F190)=LENB(F190),ROUND(LEFT(F190,2*LEN(F190)-LENB(F190))/$A$1,3),((ROUND(LEFT(F190,2*LEN(F190)-LENB(F190))/$A$1,3))*VLOOKUP(J190,食材表!$A:$B,2,FALSE))),"")</f>
        <v/>
      </c>
      <c r="L190" s="344"/>
      <c r="M190" s="344"/>
      <c r="N190" s="344"/>
      <c r="O190" s="344"/>
      <c r="P190" s="344"/>
      <c r="Q190" s="344"/>
      <c r="R190" s="344"/>
      <c r="S190" s="344"/>
    </row>
    <row r="191" spans="1:19">
      <c r="A191" s="33" t="str">
        <f>"1"&amp;+$B191</f>
        <v>1雞茸糙米粥</v>
      </c>
      <c r="B191" s="356" t="s">
        <v>1023</v>
      </c>
      <c r="C191" s="31" t="s">
        <v>1024</v>
      </c>
      <c r="D191" s="33">
        <v>0.8</v>
      </c>
      <c r="E191" s="27" t="s">
        <v>169</v>
      </c>
      <c r="F191" s="33">
        <v>0.2</v>
      </c>
      <c r="G191" s="352" t="str">
        <f>B191</f>
        <v>雞茸糙米粥</v>
      </c>
      <c r="H191" s="91" t="str">
        <f t="shared" si="125"/>
        <v>糙米</v>
      </c>
      <c r="I191" s="83">
        <f>IFERROR(IF(LEN(D191)=LENB(D191),ROUND(LEFT(D191,2*LEN(D191)-LENB(D191))/$A$1,3),((ROUND(LEFT(D191,2*LEN(D191)-LENB(D191))/$A$1,3))*VLOOKUP(H191,食材表!$A:$B,2,FALSE))),"")</f>
        <v>1.6E-2</v>
      </c>
      <c r="J191" s="91" t="str">
        <f t="shared" si="126"/>
        <v>芹菜</v>
      </c>
      <c r="K191" s="83">
        <f>IFERROR(IF(LEN(F191)=LENB(F191),ROUND(LEFT(F191,2*LEN(F191)-LENB(F191))/$A$1,3),((ROUND(LEFT(F191,2*LEN(F191)-LENB(F191))/$A$1,3))*VLOOKUP(J191,食材表!$A:$B,2,FALSE))),"")</f>
        <v>4.0000000000000001E-3</v>
      </c>
      <c r="L191" s="342">
        <f>IFERROR($I191*VLOOKUP($H191,食材表!$A:C,3,FALSE),0)+IFERROR($I192*VLOOKUP($H192,食材表!$A:C,3,FALSE),0)+IFERROR($I193*VLOOKUP($H193,食材表!$A:C,3,FALSE),0)+IFERROR($K191*VLOOKUP($J191,食材表!$A:C,3,FALSE),0)+IFERROR($K192*VLOOKUP($J192,食材表!$A:C,3,FALSE),0)+IFERROR($K193*VLOOKUP($J193,食材表!$A:C,3,FALSE),0)</f>
        <v>1.1200000000000001</v>
      </c>
      <c r="M191" s="342">
        <f>IFERROR($I191*VLOOKUP($H191,食材表!$A:D,4,FALSE),0)+IFERROR($I192*VLOOKUP($H192,食材表!$A:D,4,FALSE),0)+IFERROR($I193*VLOOKUP($H193,食材表!$A:D,4,FALSE),0)+IFERROR($K191*VLOOKUP($J191,食材表!$A:D,4,FALSE),0)+IFERROR($K192*VLOOKUP($J192,食材表!$A:D,4,FALSE),0)+IFERROR($K193*VLOOKUP($J193,食材表!$A:D,4,FALSE),0)</f>
        <v>0.4</v>
      </c>
      <c r="N191" s="342">
        <f>IFERROR($I191*VLOOKUP($H191,食材表!$A:E,5,FALSE),0)+IFERROR($I192*VLOOKUP($H192,食材表!$A:E,5,FALSE),0)+IFERROR($I193*VLOOKUP($H193,食材表!$A:E,5,FALSE),0)+IFERROR($K191*VLOOKUP($J191,食材表!$A:E,5,FALSE),0)+IFERROR($K192*VLOOKUP($J192,食材表!$A:E,5,FALSE),0)+IFERROR($K193*VLOOKUP($J193,食材表!$A:E,5,FALSE),0)</f>
        <v>0</v>
      </c>
      <c r="O191" s="342">
        <f>IFERROR($I191*VLOOKUP($H191,食材表!$A:F,6,FALSE),0)+IFERROR($I192*VLOOKUP($H192,食材表!$A:F,6,FALSE),0)+IFERROR($I193*VLOOKUP($H193,食材表!$A:F,6,FALSE),0)+IFERROR($K191*VLOOKUP($J191,食材表!$A:F,6,FALSE),0)+IFERROR($K192*VLOOKUP($J192,食材表!$A:F,6,FALSE),0)+IFERROR($K193*VLOOKUP($J193,食材表!$A:F,6,FALSE),0)</f>
        <v>0.04</v>
      </c>
      <c r="P191" s="342">
        <f>IFERROR($I191*VLOOKUP($H191,食材表!$A:G,7,FALSE),0)+IFERROR($I192*VLOOKUP($H192,食材表!$A:G,7,FALSE),0)+IFERROR($I193*VLOOKUP($H193,食材表!$A:G,7,FALSE),0)+IFERROR($K191*VLOOKUP($J191,食材表!$A:G,7,FALSE),0)+IFERROR($K192*VLOOKUP($J192,食材表!$A:G,7,FALSE),0)+IFERROR($K193*VLOOKUP($J193,食材表!$A:G,7,FALSE),0)</f>
        <v>0</v>
      </c>
      <c r="Q191" s="342">
        <f>IFERROR($I191*VLOOKUP($H191,食材表!$A:H,8,FALSE),0)+IFERROR($I192*VLOOKUP($H192,食材表!$A:H,8,FALSE),0)+IFERROR($I193*VLOOKUP($H193,食材表!$A:H,8,FALSE),0)+IFERROR($K191*VLOOKUP($J191,食材表!$A:H,8,FALSE),0)+IFERROR($K192*VLOOKUP($J192,食材表!$A:H,8,FALSE),0)+IFERROR($K193*VLOOKUP($J193,食材表!$A:H,8,FALSE),0)</f>
        <v>0</v>
      </c>
      <c r="R191" s="342">
        <f>IFERROR($I191*VLOOKUP($H191,食材表!$A:I,9,FALSE),0)+IFERROR($I192*VLOOKUP($H192,食材表!$A:I,9,FALSE),0)+IFERROR($I193*VLOOKUP($H193,食材表!$A:I,9,FALSE),0)+IFERROR($K191*VLOOKUP($J191,食材表!$A:I,9,FALSE),0)+IFERROR($K192*VLOOKUP($J192,食材表!$A:I,9,FALSE),0)+IFERROR($K193*VLOOKUP($J193,食材表!$A:I,9,FALSE),0)</f>
        <v>0</v>
      </c>
      <c r="S191" s="342">
        <f>SUM(L191*70+M191*75+N191*120+O191*25+P191*60+Q191*45+R191*4)</f>
        <v>109.4</v>
      </c>
    </row>
    <row r="192" spans="1:19">
      <c r="A192" s="33" t="str">
        <f>"2"&amp;+$B191</f>
        <v>2雞茸糙米粥</v>
      </c>
      <c r="B192" s="390"/>
      <c r="C192" s="49" t="s">
        <v>429</v>
      </c>
      <c r="D192" s="33">
        <v>0.6</v>
      </c>
      <c r="E192" s="22" t="s">
        <v>12</v>
      </c>
      <c r="F192" s="33">
        <v>0.8</v>
      </c>
      <c r="G192" s="353"/>
      <c r="H192" s="93" t="str">
        <f t="shared" ref="H192:H193" si="131">C192</f>
        <v>雞絞肉</v>
      </c>
      <c r="I192" s="86">
        <f>IFERROR(IF(LEN(D192)=LENB(D192),ROUND(LEFT(D192,2*LEN(D192)-LENB(D192))/$A$1,3),((ROUND(LEFT(D192,2*LEN(D192)-LENB(D192))/$A$1,3))*VLOOKUP(H192,食材表!$A:$B,2,FALSE))),"")</f>
        <v>1.2E-2</v>
      </c>
      <c r="J192" s="93" t="str">
        <f t="shared" ref="J192:J193" si="132">E192</f>
        <v>白米</v>
      </c>
      <c r="K192" s="86">
        <f>IFERROR(IF(LEN(F192)=LENB(F192),ROUND(LEFT(F192,2*LEN(F192)-LENB(F192))/$A$1,3),((ROUND(LEFT(F192,2*LEN(F192)-LENB(F192))/$A$1,3))*VLOOKUP(J192,食材表!$A:$B,2,FALSE))),"")</f>
        <v>1.6E-2</v>
      </c>
      <c r="L192" s="343"/>
      <c r="M192" s="343"/>
      <c r="N192" s="343"/>
      <c r="O192" s="343"/>
      <c r="P192" s="343"/>
      <c r="Q192" s="343"/>
      <c r="R192" s="343"/>
      <c r="S192" s="343"/>
    </row>
    <row r="193" spans="1:19">
      <c r="A193" s="33" t="str">
        <f>"3"&amp;+$B191</f>
        <v>3雞茸糙米粥</v>
      </c>
      <c r="B193" s="357"/>
      <c r="C193" s="28" t="s">
        <v>194</v>
      </c>
      <c r="D193" s="33" t="s">
        <v>154</v>
      </c>
      <c r="E193" s="29"/>
      <c r="F193" s="8"/>
      <c r="G193" s="354"/>
      <c r="H193" s="92" t="str">
        <f t="shared" si="131"/>
        <v>玉米粒</v>
      </c>
      <c r="I193" s="84">
        <f>IFERROR(IF(LEN(D193)=LENB(D193),ROUND(LEFT(D193,2*LEN(D193)-LENB(D193))/$A$1,3),((ROUND(LEFT(D193,2*LEN(D193)-LENB(D193))/$A$1,3))*VLOOKUP(H193,食材表!$A:$B,2,FALSE))),"")</f>
        <v>2.7200000000000002E-2</v>
      </c>
      <c r="J193" s="92">
        <f t="shared" si="132"/>
        <v>0</v>
      </c>
      <c r="K193" s="85" t="str">
        <f>IFERROR(IF(LEN(F193)=LENB(F193),ROUND(LEFT(F193,2*LEN(F193)-LENB(F193))/$A$1,3),((ROUND(LEFT(F193,2*LEN(F193)-LENB(F193))/$A$1,3))*VLOOKUP(J193,食材表!$A:$B,2,FALSE))),"")</f>
        <v/>
      </c>
      <c r="L193" s="344"/>
      <c r="M193" s="344"/>
      <c r="N193" s="344"/>
      <c r="O193" s="344"/>
      <c r="P193" s="344"/>
      <c r="Q193" s="344"/>
      <c r="R193" s="344"/>
      <c r="S193" s="344"/>
    </row>
    <row r="194" spans="1:19">
      <c r="A194" s="33" t="str">
        <f>"1"&amp;+$B194</f>
        <v>1鮪魚玉米粥</v>
      </c>
      <c r="B194" s="355" t="s">
        <v>193</v>
      </c>
      <c r="C194" s="55" t="s">
        <v>194</v>
      </c>
      <c r="D194" s="56" t="s">
        <v>131</v>
      </c>
      <c r="E194" s="58" t="s">
        <v>12</v>
      </c>
      <c r="F194" s="56">
        <v>1.2</v>
      </c>
      <c r="G194" s="352" t="str">
        <f>B194</f>
        <v>鮪魚玉米粥</v>
      </c>
      <c r="H194" s="91" t="str">
        <f>C194</f>
        <v>玉米粒</v>
      </c>
      <c r="I194" s="83">
        <f>IFERROR(IF(LEN(D194)=LENB(D194),ROUND(LEFT(D194,2*LEN(D194)-LENB(D194))/$A$1,3),((ROUND(LEFT(D194,2*LEN(D194)-LENB(D194))/$A$1,3))*VLOOKUP(H194,食材表!$A:$B,2,FALSE))),"")</f>
        <v>2.0400000000000001E-2</v>
      </c>
      <c r="J194" s="91" t="str">
        <f>E194</f>
        <v>白米</v>
      </c>
      <c r="K194" s="83">
        <f>IFERROR(IF(LEN(F194)=LENB(F194),ROUND(LEFT(F194,2*LEN(F194)-LENB(F194))/$A$1,3),((ROUND(LEFT(F194,2*LEN(F194)-LENB(F194))/$A$1,3))*VLOOKUP(J194,食材表!$A:$B,2,FALSE))),"")</f>
        <v>2.4E-2</v>
      </c>
      <c r="L194" s="342">
        <f>IFERROR($I194*VLOOKUP($H194,食材表!$A:C,3,FALSE),0)+IFERROR($I195*VLOOKUP($H195,食材表!$A:C,3,FALSE),0)+IFERROR($I196*VLOOKUP($H196,食材表!$A:C,3,FALSE),0)+IFERROR($K194*VLOOKUP($J194,食材表!$A:C,3,FALSE),0)+IFERROR($K195*VLOOKUP($J195,食材表!$A:C,3,FALSE),0)+IFERROR($K196*VLOOKUP($J196,食材表!$A:C,3,FALSE),0)</f>
        <v>1.44</v>
      </c>
      <c r="M194" s="342">
        <f>IFERROR($I194*VLOOKUP($H194,食材表!$A:D,4,FALSE),0)+IFERROR($I195*VLOOKUP($H195,食材表!$A:D,4,FALSE),0)+IFERROR($I196*VLOOKUP($H196,食材表!$A:D,4,FALSE),0)+IFERROR($K194*VLOOKUP($J194,食材表!$A:D,4,FALSE),0)+IFERROR($K195*VLOOKUP($J195,食材表!$A:D,4,FALSE),0)+IFERROR($K196*VLOOKUP($J196,食材表!$A:D,4,FALSE),0)</f>
        <v>0.48</v>
      </c>
      <c r="N194" s="342">
        <f>IFERROR($I194*VLOOKUP($H194,食材表!$A:E,5,FALSE),0)+IFERROR($I195*VLOOKUP($H195,食材表!$A:E,5,FALSE),0)+IFERROR($I196*VLOOKUP($H196,食材表!$A:E,5,FALSE),0)+IFERROR($K194*VLOOKUP($J194,食材表!$A:E,5,FALSE),0)+IFERROR($K195*VLOOKUP($J195,食材表!$A:E,5,FALSE),0)+IFERROR($K196*VLOOKUP($J196,食材表!$A:E,5,FALSE),0)</f>
        <v>0</v>
      </c>
      <c r="O194" s="342">
        <f>IFERROR($I194*VLOOKUP($H194,食材表!$A:F,6,FALSE),0)+IFERROR($I195*VLOOKUP($H195,食材表!$A:F,6,FALSE),0)+IFERROR($I196*VLOOKUP($H196,食材表!$A:F,6,FALSE),0)+IFERROR($K194*VLOOKUP($J194,食材表!$A:F,6,FALSE),0)+IFERROR($K195*VLOOKUP($J195,食材表!$A:F,6,FALSE),0)+IFERROR($K196*VLOOKUP($J196,食材表!$A:F,6,FALSE),0)</f>
        <v>0.2</v>
      </c>
      <c r="P194" s="342">
        <f>IFERROR($I194*VLOOKUP($H194,食材表!$A:G,7,FALSE),0)+IFERROR($I195*VLOOKUP($H195,食材表!$A:G,7,FALSE),0)+IFERROR($I196*VLOOKUP($H196,食材表!$A:G,7,FALSE),0)+IFERROR($K194*VLOOKUP($J194,食材表!$A:G,7,FALSE),0)+IFERROR($K195*VLOOKUP($J195,食材表!$A:G,7,FALSE),0)+IFERROR($K196*VLOOKUP($J196,食材表!$A:G,7,FALSE),0)</f>
        <v>0</v>
      </c>
      <c r="Q194" s="342">
        <f>IFERROR($I194*VLOOKUP($H194,食材表!$A:H,8,FALSE),0)+IFERROR($I195*VLOOKUP($H195,食材表!$A:H,8,FALSE),0)+IFERROR($I196*VLOOKUP($H196,食材表!$A:H,8,FALSE),0)+IFERROR($K194*VLOOKUP($J194,食材表!$A:H,8,FALSE),0)+IFERROR($K195*VLOOKUP($J195,食材表!$A:H,8,FALSE),0)+IFERROR($K196*VLOOKUP($J196,食材表!$A:H,8,FALSE),0)</f>
        <v>0</v>
      </c>
      <c r="R194" s="342">
        <f>IFERROR($I194*VLOOKUP($H194,食材表!$A:I,9,FALSE),0)+IFERROR($I195*VLOOKUP($H195,食材表!$A:I,9,FALSE),0)+IFERROR($I196*VLOOKUP($H196,食材表!$A:I,9,FALSE),0)+IFERROR($K194*VLOOKUP($J194,食材表!$A:I,9,FALSE),0)+IFERROR($K195*VLOOKUP($J195,食材表!$A:I,9,FALSE),0)+IFERROR($K196*VLOOKUP($J196,食材表!$A:I,9,FALSE),0)</f>
        <v>0</v>
      </c>
      <c r="S194" s="342">
        <f>SUM(L194*70+M194*75+N194*120+O194*25+P194*60+Q194*45+R194*4)</f>
        <v>141.80000000000001</v>
      </c>
    </row>
    <row r="195" spans="1:19">
      <c r="A195" s="33" t="str">
        <f>"2"&amp;+$B194</f>
        <v>2鮪魚玉米粥</v>
      </c>
      <c r="B195" s="356"/>
      <c r="C195" s="31" t="s">
        <v>195</v>
      </c>
      <c r="D195" s="33" t="s">
        <v>154</v>
      </c>
      <c r="E195" s="27"/>
      <c r="F195" s="33"/>
      <c r="G195" s="353"/>
      <c r="H195" s="93" t="str">
        <f t="shared" ref="H195:H196" si="133">C195</f>
        <v>鮪魚罐頭</v>
      </c>
      <c r="I195" s="86">
        <f>IFERROR(IF(LEN(D195)=LENB(D195),ROUND(LEFT(D195,2*LEN(D195)-LENB(D195))/$A$1,3),((ROUND(LEFT(D195,2*LEN(D195)-LENB(D195))/$A$1,3))*VLOOKUP(H195,食材表!$A:$B,2,FALSE))),"")</f>
        <v>0.08</v>
      </c>
      <c r="J195" s="93">
        <f t="shared" ref="J195:J196" si="134">E195</f>
        <v>0</v>
      </c>
      <c r="K195" s="86" t="str">
        <f>IFERROR(IF(LEN(F195)=LENB(F195),ROUND(LEFT(F195,2*LEN(F195)-LENB(F195))/$A$1,3),((ROUND(LEFT(F195,2*LEN(F195)-LENB(F195))/$A$1,3))*VLOOKUP(J195,食材表!$A:$B,2,FALSE))),"")</f>
        <v/>
      </c>
      <c r="L195" s="343"/>
      <c r="M195" s="343"/>
      <c r="N195" s="343"/>
      <c r="O195" s="343"/>
      <c r="P195" s="343"/>
      <c r="Q195" s="343"/>
      <c r="R195" s="343"/>
      <c r="S195" s="343"/>
    </row>
    <row r="196" spans="1:19">
      <c r="A196" s="33" t="str">
        <f>"3"&amp;+$B194</f>
        <v>3鮪魚玉米粥</v>
      </c>
      <c r="B196" s="357"/>
      <c r="C196" s="28" t="s">
        <v>46</v>
      </c>
      <c r="D196" s="8">
        <v>1</v>
      </c>
      <c r="E196" s="29"/>
      <c r="F196" s="8"/>
      <c r="G196" s="354"/>
      <c r="H196" s="92" t="str">
        <f t="shared" si="133"/>
        <v>高麗菜</v>
      </c>
      <c r="I196" s="84">
        <f>IFERROR(IF(LEN(D196)=LENB(D196),ROUND(LEFT(D196,2*LEN(D196)-LENB(D196))/$A$1,3),((ROUND(LEFT(D196,2*LEN(D196)-LENB(D196))/$A$1,3))*VLOOKUP(H196,食材表!$A:$B,2,FALSE))),"")</f>
        <v>0.02</v>
      </c>
      <c r="J196" s="92">
        <f t="shared" si="134"/>
        <v>0</v>
      </c>
      <c r="K196" s="85" t="str">
        <f>IFERROR(IF(LEN(F196)=LENB(F196),ROUND(LEFT(F196,2*LEN(F196)-LENB(F196))/$A$1,3),((ROUND(LEFT(F196,2*LEN(F196)-LENB(F196))/$A$1,3))*VLOOKUP(J196,食材表!$A:$B,2,FALSE))),"")</f>
        <v/>
      </c>
      <c r="L196" s="344"/>
      <c r="M196" s="344"/>
      <c r="N196" s="344"/>
      <c r="O196" s="344"/>
      <c r="P196" s="344"/>
      <c r="Q196" s="344"/>
      <c r="R196" s="344"/>
      <c r="S196" s="344"/>
    </row>
    <row r="197" spans="1:19">
      <c r="A197" s="33" t="str">
        <f>"1"&amp;+$B197</f>
        <v>1莧菜雞蛋粥</v>
      </c>
      <c r="B197" s="350" t="s">
        <v>167</v>
      </c>
      <c r="C197" s="22" t="s">
        <v>168</v>
      </c>
      <c r="D197" s="36">
        <v>1</v>
      </c>
      <c r="E197" s="22"/>
      <c r="F197" s="36"/>
      <c r="G197" s="352" t="str">
        <f>B197</f>
        <v>莧菜雞蛋粥</v>
      </c>
      <c r="H197" s="91" t="str">
        <f>C197</f>
        <v>莧菜</v>
      </c>
      <c r="I197" s="83">
        <f>IFERROR(IF(LEN(D197)=LENB(D197),ROUND(LEFT(D197,2*LEN(D197)-LENB(D197))/$A$1,3),((ROUND(LEFT(D197,2*LEN(D197)-LENB(D197))/$A$1,3))*VLOOKUP(H197,食材表!$A:$B,2,FALSE))),"")</f>
        <v>0.02</v>
      </c>
      <c r="J197" s="91">
        <f>E197</f>
        <v>0</v>
      </c>
      <c r="K197" s="83" t="str">
        <f>IFERROR(IF(LEN(F197)=LENB(F197),ROUND(LEFT(F197,2*LEN(F197)-LENB(F197))/$A$1,3),((ROUND(LEFT(F197,2*LEN(F197)-LENB(F197))/$A$1,3))*VLOOKUP(J197,食材表!$A:$B,2,FALSE))),"")</f>
        <v/>
      </c>
      <c r="L197" s="342">
        <f>IFERROR($I197*VLOOKUP($H197,食材表!$A:C,3,FALSE),0)+IFERROR($I198*VLOOKUP($H198,食材表!$A:C,3,FALSE),0)+IFERROR($I199*VLOOKUP($H199,食材表!$A:C,3,FALSE),0)+IFERROR($K197*VLOOKUP($J197,食材表!$A:C,3,FALSE),0)+IFERROR($K198*VLOOKUP($J198,食材表!$A:C,3,FALSE),0)+IFERROR($K199*VLOOKUP($J199,食材表!$A:C,3,FALSE),0)</f>
        <v>1.2</v>
      </c>
      <c r="M197" s="342">
        <f>IFERROR($I197*VLOOKUP($H197,食材表!$A:D,4,FALSE),0)+IFERROR($I198*VLOOKUP($H198,食材表!$A:D,4,FALSE),0)+IFERROR($I199*VLOOKUP($H199,食材表!$A:D,4,FALSE),0)+IFERROR($K197*VLOOKUP($J197,食材表!$A:D,4,FALSE),0)+IFERROR($K198*VLOOKUP($J198,食材表!$A:D,4,FALSE),0)+IFERROR($K199*VLOOKUP($J199,食材表!$A:D,4,FALSE),0)</f>
        <v>0.22153846153846155</v>
      </c>
      <c r="N197" s="342">
        <f>IFERROR($I197*VLOOKUP($H197,食材表!$A:E,5,FALSE),0)+IFERROR($I198*VLOOKUP($H198,食材表!$A:E,5,FALSE),0)+IFERROR($I199*VLOOKUP($H199,食材表!$A:E,5,FALSE),0)+IFERROR($K197*VLOOKUP($J197,食材表!$A:E,5,FALSE),0)+IFERROR($K198*VLOOKUP($J198,食材表!$A:E,5,FALSE),0)+IFERROR($K199*VLOOKUP($J199,食材表!$A:E,5,FALSE),0)</f>
        <v>0</v>
      </c>
      <c r="O197" s="342">
        <f>IFERROR($I197*VLOOKUP($H197,食材表!$A:F,6,FALSE),0)+IFERROR($I198*VLOOKUP($H198,食材表!$A:F,6,FALSE),0)+IFERROR($I199*VLOOKUP($H199,食材表!$A:F,6,FALSE),0)+IFERROR($K197*VLOOKUP($J197,食材表!$A:F,6,FALSE),0)+IFERROR($K198*VLOOKUP($J198,食材表!$A:F,6,FALSE),0)+IFERROR($K199*VLOOKUP($J199,食材表!$A:F,6,FALSE),0)</f>
        <v>0.2</v>
      </c>
      <c r="P197" s="342">
        <f>IFERROR($I197*VLOOKUP($H197,食材表!$A:G,7,FALSE),0)+IFERROR($I198*VLOOKUP($H198,食材表!$A:G,7,FALSE),0)+IFERROR($I199*VLOOKUP($H199,食材表!$A:G,7,FALSE),0)+IFERROR($K197*VLOOKUP($J197,食材表!$A:G,7,FALSE),0)+IFERROR($K198*VLOOKUP($J198,食材表!$A:G,7,FALSE),0)+IFERROR($K199*VLOOKUP($J199,食材表!$A:G,7,FALSE),0)</f>
        <v>0</v>
      </c>
      <c r="Q197" s="342">
        <f>IFERROR($I197*VLOOKUP($H197,食材表!$A:H,8,FALSE),0)+IFERROR($I198*VLOOKUP($H198,食材表!$A:H,8,FALSE),0)+IFERROR($I199*VLOOKUP($H199,食材表!$A:H,8,FALSE),0)+IFERROR($K197*VLOOKUP($J197,食材表!$A:H,8,FALSE),0)+IFERROR($K198*VLOOKUP($J198,食材表!$A:H,8,FALSE),0)+IFERROR($K199*VLOOKUP($J199,食材表!$A:H,8,FALSE),0)</f>
        <v>0</v>
      </c>
      <c r="R197" s="342">
        <f>IFERROR($I197*VLOOKUP($H197,食材表!$A:I,9,FALSE),0)+IFERROR($I198*VLOOKUP($H198,食材表!$A:I,9,FALSE),0)+IFERROR($I199*VLOOKUP($H199,食材表!$A:I,9,FALSE),0)+IFERROR($K197*VLOOKUP($J197,食材表!$A:I,9,FALSE),0)+IFERROR($K198*VLOOKUP($J198,食材表!$A:I,9,FALSE),0)+IFERROR($K199*VLOOKUP($J199,食材表!$A:I,9,FALSE),0)</f>
        <v>0</v>
      </c>
      <c r="S197" s="342">
        <f>SUM(L197*70+M197*75+N197*120+O197*25+P197*60+Q197*45+R197*4)</f>
        <v>105.61538461538461</v>
      </c>
    </row>
    <row r="198" spans="1:19">
      <c r="A198" s="33" t="str">
        <f>"2"&amp;+$B197</f>
        <v>2莧菜雞蛋粥</v>
      </c>
      <c r="B198" s="383"/>
      <c r="C198" s="22" t="s">
        <v>48</v>
      </c>
      <c r="D198" s="36" t="s">
        <v>993</v>
      </c>
      <c r="E198" s="31"/>
      <c r="F198" s="33"/>
      <c r="G198" s="353"/>
      <c r="H198" s="93" t="str">
        <f t="shared" ref="H198:H199" si="135">C198</f>
        <v>雞蛋</v>
      </c>
      <c r="I198" s="86">
        <f>IFERROR(IF(LEN(D198)=LENB(D198),ROUND(LEFT(D198,2*LEN(D198)-LENB(D198))/$A$1,3),((ROUND(LEFT(D198,2*LEN(D198)-LENB(D198))/$A$1,3))*VLOOKUP(H198,食材表!$A:$B,2,FALSE))),"")</f>
        <v>1.44E-2</v>
      </c>
      <c r="J198" s="93">
        <f t="shared" ref="J198:J199" si="136">E198</f>
        <v>0</v>
      </c>
      <c r="K198" s="86" t="str">
        <f>IFERROR(IF(LEN(F198)=LENB(F198),ROUND(LEFT(F198,2*LEN(F198)-LENB(F198))/$A$1,3),((ROUND(LEFT(F198,2*LEN(F198)-LENB(F198))/$A$1,3))*VLOOKUP(J198,食材表!$A:$B,2,FALSE))),"")</f>
        <v/>
      </c>
      <c r="L198" s="343"/>
      <c r="M198" s="343"/>
      <c r="N198" s="343"/>
      <c r="O198" s="343"/>
      <c r="P198" s="343"/>
      <c r="Q198" s="343"/>
      <c r="R198" s="343"/>
      <c r="S198" s="343"/>
    </row>
    <row r="199" spans="1:19">
      <c r="A199" s="33" t="str">
        <f>"3"&amp;+$B197</f>
        <v>3莧菜雞蛋粥</v>
      </c>
      <c r="B199" s="351"/>
      <c r="C199" s="26" t="s">
        <v>12</v>
      </c>
      <c r="D199" s="37">
        <v>1.2</v>
      </c>
      <c r="E199" s="26"/>
      <c r="F199" s="37"/>
      <c r="G199" s="354"/>
      <c r="H199" s="92" t="str">
        <f t="shared" si="135"/>
        <v>白米</v>
      </c>
      <c r="I199" s="84">
        <f>IFERROR(IF(LEN(D199)=LENB(D199),ROUND(LEFT(D199,2*LEN(D199)-LENB(D199))/$A$1,3),((ROUND(LEFT(D199,2*LEN(D199)-LENB(D199))/$A$1,3))*VLOOKUP(H199,食材表!$A:$B,2,FALSE))),"")</f>
        <v>2.4E-2</v>
      </c>
      <c r="J199" s="92">
        <f t="shared" si="136"/>
        <v>0</v>
      </c>
      <c r="K199" s="85" t="str">
        <f>IFERROR(IF(LEN(F199)=LENB(F199),ROUND(LEFT(F199,2*LEN(F199)-LENB(F199))/$A$1,3),((ROUND(LEFT(F199,2*LEN(F199)-LENB(F199))/$A$1,3))*VLOOKUP(J199,食材表!$A:$B,2,FALSE))),"")</f>
        <v/>
      </c>
      <c r="L199" s="344"/>
      <c r="M199" s="344"/>
      <c r="N199" s="344"/>
      <c r="O199" s="344"/>
      <c r="P199" s="344"/>
      <c r="Q199" s="344"/>
      <c r="R199" s="344"/>
      <c r="S199" s="344"/>
    </row>
    <row r="200" spans="1:19">
      <c r="A200" s="33" t="str">
        <f>"1"&amp;+$B200</f>
        <v>1芋頭鹹粥</v>
      </c>
      <c r="B200" s="356" t="s">
        <v>1101</v>
      </c>
      <c r="C200" s="31" t="s">
        <v>927</v>
      </c>
      <c r="D200" s="33">
        <v>2</v>
      </c>
      <c r="E200" s="27" t="s">
        <v>12</v>
      </c>
      <c r="F200" s="33">
        <v>1.2</v>
      </c>
      <c r="G200" s="352" t="str">
        <f t="shared" ref="G200" si="137">B200</f>
        <v>芋頭鹹粥</v>
      </c>
      <c r="H200" s="91" t="str">
        <f>C200</f>
        <v>芋頭丁</v>
      </c>
      <c r="I200" s="83">
        <f>IFERROR(IF(LEN(D200)=LENB(D200),ROUND(LEFT(D200,2*LEN(D200)-LENB(D200))/$A$1,3),((ROUND(LEFT(D200,2*LEN(D200)-LENB(D200))/$A$1,3))*VLOOKUP(H200,食材表!$A:$B,2,FALSE))),"")</f>
        <v>0.04</v>
      </c>
      <c r="J200" s="91" t="str">
        <f>E200</f>
        <v>白米</v>
      </c>
      <c r="K200" s="83">
        <f>IFERROR(IF(LEN(F200)=LENB(F200),ROUND(LEFT(F200,2*LEN(F200)-LENB(F200))/$A$1,3),((ROUND(LEFT(F200,2*LEN(F200)-LENB(F200))/$A$1,3))*VLOOKUP(J200,食材表!$A:$B,2,FALSE))),"")</f>
        <v>2.4E-2</v>
      </c>
      <c r="L200" s="342">
        <f>IFERROR($I200*VLOOKUP($H200,食材表!$A:C,3,FALSE),0)+IFERROR($I201*VLOOKUP($H201,食材表!$A:C,3,FALSE),0)+IFERROR($I202*VLOOKUP($H202,食材表!$A:C,3,FALSE),0)+IFERROR($K200*VLOOKUP($J200,食材表!$A:C,3,FALSE),0)+IFERROR($K201*VLOOKUP($J201,食材表!$A:C,3,FALSE),0)+IFERROR($K202*VLOOKUP($J202,食材表!$A:C,3,FALSE),0)</f>
        <v>1.2</v>
      </c>
      <c r="M200" s="342">
        <f>IFERROR($I200*VLOOKUP($H200,食材表!$A:D,4,FALSE),0)+IFERROR($I201*VLOOKUP($H201,食材表!$A:D,4,FALSE),0)+IFERROR($I202*VLOOKUP($H202,食材表!$A:D,4,FALSE),0)+IFERROR($K200*VLOOKUP($J200,食材表!$A:D,4,FALSE),0)+IFERROR($K201*VLOOKUP($J201,食材表!$A:D,4,FALSE),0)+IFERROR($K202*VLOOKUP($J202,食材表!$A:D,4,FALSE),0)</f>
        <v>0.34285714285714286</v>
      </c>
      <c r="N200" s="342">
        <f>IFERROR($I200*VLOOKUP($H200,食材表!$A:E,5,FALSE),0)+IFERROR($I201*VLOOKUP($H201,食材表!$A:E,5,FALSE),0)+IFERROR($I202*VLOOKUP($H202,食材表!$A:E,5,FALSE),0)+IFERROR($K200*VLOOKUP($J200,食材表!$A:E,5,FALSE),0)+IFERROR($K201*VLOOKUP($J201,食材表!$A:E,5,FALSE),0)+IFERROR($K202*VLOOKUP($J202,食材表!$A:E,5,FALSE),0)</f>
        <v>0</v>
      </c>
      <c r="O200" s="342">
        <f>IFERROR($I200*VLOOKUP($H200,食材表!$A:F,6,FALSE),0)+IFERROR($I201*VLOOKUP($H201,食材表!$A:F,6,FALSE),0)+IFERROR($I202*VLOOKUP($H202,食材表!$A:F,6,FALSE),0)+IFERROR($K200*VLOOKUP($J200,食材表!$A:F,6,FALSE),0)+IFERROR($K201*VLOOKUP($J201,食材表!$A:F,6,FALSE),0)+IFERROR($K202*VLOOKUP($J202,食材表!$A:F,6,FALSE),0)</f>
        <v>0.24000000000000002</v>
      </c>
      <c r="P200" s="342">
        <f>IFERROR($I200*VLOOKUP($H200,食材表!$A:G,7,FALSE),0)+IFERROR($I201*VLOOKUP($H201,食材表!$A:G,7,FALSE),0)+IFERROR($I202*VLOOKUP($H202,食材表!$A:G,7,FALSE),0)+IFERROR($K200*VLOOKUP($J200,食材表!$A:G,7,FALSE),0)+IFERROR($K201*VLOOKUP($J201,食材表!$A:G,7,FALSE),0)+IFERROR($K202*VLOOKUP($J202,食材表!$A:G,7,FALSE),0)</f>
        <v>0</v>
      </c>
      <c r="Q200" s="342">
        <f>IFERROR($I200*VLOOKUP($H200,食材表!$A:H,8,FALSE),0)+IFERROR($I201*VLOOKUP($H201,食材表!$A:H,8,FALSE),0)+IFERROR($I202*VLOOKUP($H202,食材表!$A:H,8,FALSE),0)+IFERROR($K200*VLOOKUP($J200,食材表!$A:H,8,FALSE),0)+IFERROR($K201*VLOOKUP($J201,食材表!$A:H,8,FALSE),0)+IFERROR($K202*VLOOKUP($J202,食材表!$A:H,8,FALSE),0)</f>
        <v>0</v>
      </c>
      <c r="R200" s="342">
        <f>IFERROR($I200*VLOOKUP($H200,食材表!$A:I,9,FALSE),0)+IFERROR($I201*VLOOKUP($H201,食材表!$A:I,9,FALSE),0)+IFERROR($I202*VLOOKUP($H202,食材表!$A:I,9,FALSE),0)+IFERROR($K200*VLOOKUP($J200,食材表!$A:I,9,FALSE),0)+IFERROR($K201*VLOOKUP($J201,食材表!$A:I,9,FALSE),0)+IFERROR($K202*VLOOKUP($J202,食材表!$A:I,9,FALSE),0)</f>
        <v>0</v>
      </c>
      <c r="S200" s="342">
        <f t="shared" ref="S200" si="138">SUM(L200*70+M200*75+N200*120+O200*25+P200*60+Q200*45+R200*4)</f>
        <v>115.71428571428572</v>
      </c>
    </row>
    <row r="201" spans="1:19">
      <c r="A201" s="33" t="str">
        <f>"2"&amp;+$B200</f>
        <v>2芋頭鹹粥</v>
      </c>
      <c r="B201" s="390"/>
      <c r="C201" s="49" t="s">
        <v>326</v>
      </c>
      <c r="D201" s="33">
        <v>0.1</v>
      </c>
      <c r="E201" s="22" t="s">
        <v>199</v>
      </c>
      <c r="F201" s="33">
        <v>0.1</v>
      </c>
      <c r="G201" s="353"/>
      <c r="H201" s="93" t="str">
        <f>C201</f>
        <v>蝦米</v>
      </c>
      <c r="I201" s="86">
        <f>IFERROR(IF(LEN(D201)=LENB(D201),ROUND(LEFT(D201,2*LEN(D201)-LENB(D201))/$A$1,3),((ROUND(LEFT(D201,2*LEN(D201)-LENB(D201))/$A$1,3))*VLOOKUP(H201,食材表!$A:$B,2,FALSE))),"")</f>
        <v>2E-3</v>
      </c>
      <c r="J201" s="93" t="str">
        <f>E201</f>
        <v>乾香菇絲</v>
      </c>
      <c r="K201" s="86">
        <f>IFERROR(IF(LEN(F201)=LENB(F201),ROUND(LEFT(F201,2*LEN(F201)-LENB(F201))/$A$1,3),((ROUND(LEFT(F201,2*LEN(F201)-LENB(F201))/$A$1,3))*VLOOKUP(J201,食材表!$A:$B,2,FALSE))),"")</f>
        <v>2E-3</v>
      </c>
      <c r="L201" s="343"/>
      <c r="M201" s="343"/>
      <c r="N201" s="343"/>
      <c r="O201" s="343"/>
      <c r="P201" s="343"/>
      <c r="Q201" s="343"/>
      <c r="R201" s="343"/>
      <c r="S201" s="343"/>
    </row>
    <row r="202" spans="1:19">
      <c r="A202" s="33" t="str">
        <f>"3"&amp;+$B200</f>
        <v>3芋頭鹹粥</v>
      </c>
      <c r="B202" s="357"/>
      <c r="C202" s="28" t="s">
        <v>47</v>
      </c>
      <c r="D202" s="8">
        <v>0.6</v>
      </c>
      <c r="E202" s="29" t="s">
        <v>169</v>
      </c>
      <c r="F202" s="8">
        <v>0.2</v>
      </c>
      <c r="G202" s="354"/>
      <c r="H202" s="92" t="str">
        <f>C202</f>
        <v>豬肉絲</v>
      </c>
      <c r="I202" s="84">
        <f>IFERROR(IF(LEN(D202)=LENB(D202),ROUND(LEFT(D202,2*LEN(D202)-LENB(D202))/$A$1,3),((ROUND(LEFT(D202,2*LEN(D202)-LENB(D202))/$A$1,3))*VLOOKUP(H202,食材表!$A:$B,2,FALSE))),"")</f>
        <v>1.2E-2</v>
      </c>
      <c r="J202" s="92" t="str">
        <f>E202</f>
        <v>芹菜</v>
      </c>
      <c r="K202" s="85">
        <f>IFERROR(IF(LEN(F202)=LENB(F202),ROUND(LEFT(F202,2*LEN(F202)-LENB(F202))/$A$1,3),((ROUND(LEFT(F202,2*LEN(F202)-LENB(F202))/$A$1,3))*VLOOKUP(J202,食材表!$A:$B,2,FALSE))),"")</f>
        <v>4.0000000000000001E-3</v>
      </c>
      <c r="L202" s="344"/>
      <c r="M202" s="344"/>
      <c r="N202" s="344"/>
      <c r="O202" s="344"/>
      <c r="P202" s="344"/>
      <c r="Q202" s="344"/>
      <c r="R202" s="344"/>
      <c r="S202" s="344"/>
    </row>
    <row r="203" spans="1:19">
      <c r="A203" s="33" t="str">
        <f>"1"&amp;+$B203</f>
        <v>1芋頭瘦肉粥</v>
      </c>
      <c r="B203" s="356" t="s">
        <v>926</v>
      </c>
      <c r="C203" s="31" t="s">
        <v>927</v>
      </c>
      <c r="D203" s="33">
        <v>2</v>
      </c>
      <c r="E203" s="27" t="s">
        <v>82</v>
      </c>
      <c r="F203" s="33">
        <v>0.6</v>
      </c>
      <c r="G203" s="352" t="str">
        <f>B203</f>
        <v>芋頭瘦肉粥</v>
      </c>
      <c r="H203" s="91" t="str">
        <f>C203</f>
        <v>芋頭丁</v>
      </c>
      <c r="I203" s="83">
        <f>IFERROR(IF(LEN(D203)=LENB(D203),ROUND(LEFT(D203,2*LEN(D203)-LENB(D203))/$A$1,3),((ROUND(LEFT(D203,2*LEN(D203)-LENB(D203))/$A$1,3))*VLOOKUP(H203,食材表!$A:$B,2,FALSE))),"")</f>
        <v>0.04</v>
      </c>
      <c r="J203" s="91" t="str">
        <f>E203</f>
        <v>大白菜</v>
      </c>
      <c r="K203" s="83">
        <f>IFERROR(IF(LEN(F203)=LENB(F203),ROUND(LEFT(F203,2*LEN(F203)-LENB(F203))/$A$1,3),((ROUND(LEFT(F203,2*LEN(F203)-LENB(F203))/$A$1,3))*VLOOKUP(J203,食材表!$A:$B,2,FALSE))),"")</f>
        <v>1.2E-2</v>
      </c>
      <c r="L203" s="345">
        <f>IFERROR($I203*VLOOKUP($H203,食材表!$A:C,3,FALSE),0)+IFERROR($I204*VLOOKUP($H204,食材表!$A:C,3,FALSE),0)+IFERROR($I205*VLOOKUP($H205,食材表!$A:C,3,FALSE),0)+IFERROR($K203*VLOOKUP($J203,食材表!$A:C,3,FALSE),0)+IFERROR($K204*VLOOKUP($J204,食材表!$A:C,3,FALSE),0)+IFERROR($K205*VLOOKUP($J205,食材表!$A:C,3,FALSE),0)</f>
        <v>1.2</v>
      </c>
      <c r="M203" s="345">
        <f>IFERROR($I203*VLOOKUP($H203,食材表!$A:D,4,FALSE),0)+IFERROR($I204*VLOOKUP($H204,食材表!$A:D,4,FALSE),0)+IFERROR($I205*VLOOKUP($H205,食材表!$A:D,4,FALSE),0)+IFERROR($K203*VLOOKUP($J203,食材表!$A:D,4,FALSE),0)+IFERROR($K204*VLOOKUP($J204,食材表!$A:D,4,FALSE),0)+IFERROR($K205*VLOOKUP($J205,食材表!$A:D,4,FALSE),0)</f>
        <v>0.34285714285714286</v>
      </c>
      <c r="N203" s="345">
        <f>IFERROR($I203*VLOOKUP($H203,食材表!$A:E,5,FALSE),0)+IFERROR($I204*VLOOKUP($H204,食材表!$A:E,5,FALSE),0)+IFERROR($I205*VLOOKUP($H205,食材表!$A:E,5,FALSE),0)+IFERROR($K203*VLOOKUP($J203,食材表!$A:E,5,FALSE),0)+IFERROR($K204*VLOOKUP($J204,食材表!$A:E,5,FALSE),0)+IFERROR($K205*VLOOKUP($J205,食材表!$A:E,5,FALSE),0)</f>
        <v>0</v>
      </c>
      <c r="O203" s="345">
        <f>IFERROR($I203*VLOOKUP($H203,食材表!$A:F,6,FALSE),0)+IFERROR($I204*VLOOKUP($H204,食材表!$A:F,6,FALSE),0)+IFERROR($I205*VLOOKUP($H205,食材表!$A:F,6,FALSE),0)+IFERROR($K203*VLOOKUP($J203,食材表!$A:F,6,FALSE),0)+IFERROR($K204*VLOOKUP($J204,食材表!$A:F,6,FALSE),0)+IFERROR($K205*VLOOKUP($J205,食材表!$A:F,6,FALSE),0)</f>
        <v>0.04</v>
      </c>
      <c r="P203" s="345">
        <f>IFERROR($I203*VLOOKUP($H203,食材表!$A:G,7,FALSE),0)+IFERROR($I204*VLOOKUP($H204,食材表!$A:G,7,FALSE),0)+IFERROR($I205*VLOOKUP($H205,食材表!$A:G,7,FALSE),0)+IFERROR($K203*VLOOKUP($J203,食材表!$A:G,7,FALSE),0)+IFERROR($K204*VLOOKUP($J204,食材表!$A:G,7,FALSE),0)+IFERROR($K205*VLOOKUP($J205,食材表!$A:G,7,FALSE),0)</f>
        <v>0</v>
      </c>
      <c r="Q203" s="345">
        <f>IFERROR($I203*VLOOKUP($H203,食材表!$A:H,8,FALSE),0)+IFERROR($I204*VLOOKUP($H204,食材表!$A:H,8,FALSE),0)+IFERROR($I205*VLOOKUP($H205,食材表!$A:H,8,FALSE),0)+IFERROR($K203*VLOOKUP($J203,食材表!$A:H,8,FALSE),0)+IFERROR($K204*VLOOKUP($J204,食材表!$A:H,8,FALSE),0)+IFERROR($K205*VLOOKUP($J205,食材表!$A:H,8,FALSE),0)</f>
        <v>0</v>
      </c>
      <c r="R203" s="345">
        <f>IFERROR($I203*VLOOKUP($H203,食材表!$A:I,9,FALSE),0)+IFERROR($I204*VLOOKUP($H204,食材表!$A:I,9,FALSE),0)+IFERROR($I205*VLOOKUP($H205,食材表!$A:I,9,FALSE),0)+IFERROR($K203*VLOOKUP($J203,食材表!$A:I,9,FALSE),0)+IFERROR($K204*VLOOKUP($J204,食材表!$A:I,9,FALSE),0)+IFERROR($K205*VLOOKUP($J205,食材表!$A:I,9,FALSE),0)</f>
        <v>0</v>
      </c>
      <c r="S203" s="345">
        <f>SUM(L203*70+M203*75+N203*120+O203*25+P203*60+Q203*45+R203*4)</f>
        <v>110.71428571428572</v>
      </c>
    </row>
    <row r="204" spans="1:19">
      <c r="A204" s="33" t="str">
        <f>"2"&amp;+$B203</f>
        <v>2芋頭瘦肉粥</v>
      </c>
      <c r="B204" s="390"/>
      <c r="C204" s="49" t="s">
        <v>138</v>
      </c>
      <c r="D204" s="33">
        <v>0.6</v>
      </c>
      <c r="E204" s="22" t="s">
        <v>12</v>
      </c>
      <c r="F204" s="33">
        <v>1.2</v>
      </c>
      <c r="G204" s="385"/>
      <c r="H204" s="93" t="str">
        <f t="shared" ref="H204:H205" si="139">C204</f>
        <v>豬絞肉</v>
      </c>
      <c r="I204" s="86">
        <f>IFERROR(IF(LEN(D204)=LENB(D204),ROUND(LEFT(D204,2*LEN(D204)-LENB(D204))/$A$1,3),((ROUND(LEFT(D204,2*LEN(D204)-LENB(D204))/$A$1,3))*VLOOKUP(H204,食材表!$A:$B,2,FALSE))),"")</f>
        <v>1.2E-2</v>
      </c>
      <c r="J204" s="93" t="str">
        <f t="shared" ref="J204:J205" si="140">E204</f>
        <v>白米</v>
      </c>
      <c r="K204" s="86">
        <f>IFERROR(IF(LEN(F204)=LENB(F204),ROUND(LEFT(F204,2*LEN(F204)-LENB(F204))/$A$1,3),((ROUND(LEFT(F204,2*LEN(F204)-LENB(F204))/$A$1,3))*VLOOKUP(J204,食材表!$A:$B,2,FALSE))),"")</f>
        <v>2.4E-2</v>
      </c>
      <c r="L204" s="345"/>
      <c r="M204" s="345"/>
      <c r="N204" s="345"/>
      <c r="O204" s="345"/>
      <c r="P204" s="345"/>
      <c r="Q204" s="345"/>
      <c r="R204" s="345"/>
      <c r="S204" s="345"/>
    </row>
    <row r="205" spans="1:19">
      <c r="A205" s="33" t="str">
        <f>"3"&amp;+$B203</f>
        <v>3芋頭瘦肉粥</v>
      </c>
      <c r="B205" s="357"/>
      <c r="C205" s="28" t="s">
        <v>169</v>
      </c>
      <c r="D205" s="8">
        <v>0.2</v>
      </c>
      <c r="E205" s="29"/>
      <c r="F205" s="8"/>
      <c r="G205" s="354"/>
      <c r="H205" s="92" t="str">
        <f t="shared" si="139"/>
        <v>芹菜</v>
      </c>
      <c r="I205" s="84">
        <f>IFERROR(IF(LEN(D205)=LENB(D205),ROUND(LEFT(D205,2*LEN(D205)-LENB(D205))/$A$1,3),((ROUND(LEFT(D205,2*LEN(D205)-LENB(D205))/$A$1,3))*VLOOKUP(H205,食材表!$A:$B,2,FALSE))),"")</f>
        <v>4.0000000000000001E-3</v>
      </c>
      <c r="J205" s="92">
        <f t="shared" si="140"/>
        <v>0</v>
      </c>
      <c r="K205" s="85" t="str">
        <f>IFERROR(IF(LEN(F205)=LENB(F205),ROUND(LEFT(F205,2*LEN(F205)-LENB(F205))/$A$1,3),((ROUND(LEFT(F205,2*LEN(F205)-LENB(F205))/$A$1,3))*VLOOKUP(J205,食材表!$A:$B,2,FALSE))),"")</f>
        <v/>
      </c>
      <c r="L205" s="345"/>
      <c r="M205" s="345"/>
      <c r="N205" s="345"/>
      <c r="O205" s="345"/>
      <c r="P205" s="345"/>
      <c r="Q205" s="345"/>
      <c r="R205" s="345"/>
      <c r="S205" s="345"/>
    </row>
    <row r="206" spans="1:19">
      <c r="A206" s="33" t="str">
        <f>"1"&amp;+$B206</f>
        <v>1高麗菜吻魚粥</v>
      </c>
      <c r="B206" s="355" t="s">
        <v>86</v>
      </c>
      <c r="C206" s="22" t="s">
        <v>338</v>
      </c>
      <c r="D206" s="36">
        <v>0.6</v>
      </c>
      <c r="E206" s="22" t="s">
        <v>160</v>
      </c>
      <c r="F206" s="36" t="s">
        <v>958</v>
      </c>
      <c r="G206" s="352" t="str">
        <f>B206</f>
        <v>高麗菜吻魚粥</v>
      </c>
      <c r="H206" s="91" t="str">
        <f>C206</f>
        <v>吻仔魚</v>
      </c>
      <c r="I206" s="83">
        <f>IFERROR(IF(LEN(D206)=LENB(D206),ROUND(LEFT(D206,2*LEN(D206)-LENB(D206))/$A$1,3),((ROUND(LEFT(D206,2*LEN(D206)-LENB(D206))/$A$1,3))*VLOOKUP(H206,食材表!$A:$B,2,FALSE))),"")</f>
        <v>1.2E-2</v>
      </c>
      <c r="J206" s="91" t="str">
        <f>E206</f>
        <v>胡蘿蔔</v>
      </c>
      <c r="K206" s="83">
        <f>IFERROR(IF(LEN(F206)=LENB(F206),ROUND(LEFT(F206,2*LEN(F206)-LENB(F206))/$A$1,3),((ROUND(LEFT(F206,2*LEN(F206)-LENB(F206))/$A$1,3))*VLOOKUP(J206,食材表!$A:$B,2,FALSE))),"")</f>
        <v>5.0000000000000001E-3</v>
      </c>
      <c r="L206" s="342">
        <f>IFERROR($I206*VLOOKUP($H206,食材表!$A:C,3,FALSE),0)+IFERROR($I207*VLOOKUP($H207,食材表!$A:C,3,FALSE),0)+IFERROR($I208*VLOOKUP($H208,食材表!$A:C,3,FALSE),0)+IFERROR($K206*VLOOKUP($J206,食材表!$A:C,3,FALSE),0)+IFERROR($K207*VLOOKUP($J207,食材表!$A:C,3,FALSE),0)+IFERROR($K208*VLOOKUP($J208,食材表!$A:C,3,FALSE),0)</f>
        <v>1.2</v>
      </c>
      <c r="M206" s="342">
        <f>IFERROR($I206*VLOOKUP($H206,食材表!$A:D,4,FALSE),0)+IFERROR($I207*VLOOKUP($H207,食材表!$A:D,4,FALSE),0)+IFERROR($I208*VLOOKUP($H208,食材表!$A:D,4,FALSE),0)+IFERROR($K206*VLOOKUP($J206,食材表!$A:D,4,FALSE),0)+IFERROR($K207*VLOOKUP($J207,食材表!$A:D,4,FALSE),0)+IFERROR($K208*VLOOKUP($J208,食材表!$A:D,4,FALSE),0)</f>
        <v>4.3428571428571425</v>
      </c>
      <c r="N206" s="342">
        <f>IFERROR($I206*VLOOKUP($H206,食材表!$A:E,5,FALSE),0)+IFERROR($I207*VLOOKUP($H207,食材表!$A:E,5,FALSE),0)+IFERROR($I208*VLOOKUP($H208,食材表!$A:E,5,FALSE),0)+IFERROR($K206*VLOOKUP($J206,食材表!$A:E,5,FALSE),0)+IFERROR($K207*VLOOKUP($J207,食材表!$A:E,5,FALSE),0)+IFERROR($K208*VLOOKUP($J208,食材表!$A:E,5,FALSE),0)</f>
        <v>0</v>
      </c>
      <c r="O206" s="342">
        <f>IFERROR($I206*VLOOKUP($H206,食材表!$A:F,6,FALSE),0)+IFERROR($I207*VLOOKUP($H207,食材表!$A:F,6,FALSE),0)+IFERROR($I208*VLOOKUP($H208,食材表!$A:F,6,FALSE),0)+IFERROR($K206*VLOOKUP($J206,食材表!$A:F,6,FALSE),0)+IFERROR($K207*VLOOKUP($J207,食材表!$A:F,6,FALSE),0)+IFERROR($K208*VLOOKUP($J208,食材表!$A:F,6,FALSE),0)</f>
        <v>0.25</v>
      </c>
      <c r="P206" s="342">
        <f>IFERROR($I206*VLOOKUP($H206,食材表!$A:G,7,FALSE),0)+IFERROR($I207*VLOOKUP($H207,食材表!$A:G,7,FALSE),0)+IFERROR($I208*VLOOKUP($H208,食材表!$A:G,7,FALSE),0)+IFERROR($K206*VLOOKUP($J206,食材表!$A:G,7,FALSE),0)+IFERROR($K207*VLOOKUP($J207,食材表!$A:G,7,FALSE),0)+IFERROR($K208*VLOOKUP($J208,食材表!$A:G,7,FALSE),0)</f>
        <v>0</v>
      </c>
      <c r="Q206" s="342">
        <f>IFERROR($I206*VLOOKUP($H206,食材表!$A:H,8,FALSE),0)+IFERROR($I207*VLOOKUP($H207,食材表!$A:H,8,FALSE),0)+IFERROR($I208*VLOOKUP($H208,食材表!$A:H,8,FALSE),0)+IFERROR($K206*VLOOKUP($J206,食材表!$A:H,8,FALSE),0)+IFERROR($K207*VLOOKUP($J207,食材表!$A:H,8,FALSE),0)+IFERROR($K208*VLOOKUP($J208,食材表!$A:H,8,FALSE),0)</f>
        <v>0</v>
      </c>
      <c r="R206" s="342">
        <f>IFERROR($I206*VLOOKUP($H206,食材表!$A:I,9,FALSE),0)+IFERROR($I207*VLOOKUP($H207,食材表!$A:I,9,FALSE),0)+IFERROR($I208*VLOOKUP($H208,食材表!$A:I,9,FALSE),0)+IFERROR($K206*VLOOKUP($J206,食材表!$A:I,9,FALSE),0)+IFERROR($K207*VLOOKUP($J207,食材表!$A:I,9,FALSE),0)+IFERROR($K208*VLOOKUP($J208,食材表!$A:I,9,FALSE),0)</f>
        <v>0</v>
      </c>
      <c r="S206" s="342">
        <f>SUM(L206*70+M206*75+N206*120+O206*25+P206*60+Q206*45+R206*4)</f>
        <v>415.96428571428567</v>
      </c>
    </row>
    <row r="207" spans="1:19">
      <c r="A207" s="33" t="str">
        <f>"2"&amp;+$B206</f>
        <v>2高麗菜吻魚粥</v>
      </c>
      <c r="B207" s="356"/>
      <c r="C207" s="22" t="s">
        <v>68</v>
      </c>
      <c r="D207" s="36">
        <v>0.6</v>
      </c>
      <c r="E207" s="31" t="s">
        <v>65</v>
      </c>
      <c r="F207" s="33">
        <v>1.2</v>
      </c>
      <c r="G207" s="353"/>
      <c r="H207" s="93" t="str">
        <f t="shared" ref="H207:H208" si="141">C207</f>
        <v>雞蛋</v>
      </c>
      <c r="I207" s="86">
        <f>13/$A$1</f>
        <v>0.26</v>
      </c>
      <c r="J207" s="93" t="str">
        <f t="shared" ref="J207:J208" si="142">E207</f>
        <v>白米</v>
      </c>
      <c r="K207" s="86">
        <f>IFERROR(IF(LEN(F207)=LENB(F207),ROUND(LEFT(F207,2*LEN(F207)-LENB(F207))/$A$1,3),((ROUND(LEFT(F207,2*LEN(F207)-LENB(F207))/$A$1,3))*VLOOKUP(J207,食材表!$A:$B,2,FALSE))),"")</f>
        <v>2.4E-2</v>
      </c>
      <c r="L207" s="343"/>
      <c r="M207" s="343"/>
      <c r="N207" s="343"/>
      <c r="O207" s="343"/>
      <c r="P207" s="343"/>
      <c r="Q207" s="343"/>
      <c r="R207" s="343"/>
      <c r="S207" s="343"/>
    </row>
    <row r="208" spans="1:19">
      <c r="A208" s="33" t="str">
        <f>"3"&amp;+$B206</f>
        <v>3高麗菜吻魚粥</v>
      </c>
      <c r="B208" s="357"/>
      <c r="C208" s="26" t="s">
        <v>46</v>
      </c>
      <c r="D208" s="36">
        <v>1</v>
      </c>
      <c r="E208" s="26"/>
      <c r="F208" s="37"/>
      <c r="G208" s="354"/>
      <c r="H208" s="92" t="str">
        <f t="shared" si="141"/>
        <v>高麗菜</v>
      </c>
      <c r="I208" s="84">
        <f>IFERROR(IF(LEN(D208)=LENB(D208),ROUND(LEFT(D208,2*LEN(D208)-LENB(D208))/$A$1,3),((ROUND(LEFT(D208,2*LEN(D208)-LENB(D208))/$A$1,3))*VLOOKUP(H208,食材表!$A:$B,2,FALSE))),"")</f>
        <v>0.02</v>
      </c>
      <c r="J208" s="92">
        <f t="shared" si="142"/>
        <v>0</v>
      </c>
      <c r="K208" s="85" t="str">
        <f>IFERROR(IF(LEN(F208)=LENB(F208),ROUND(LEFT(F208,2*LEN(F208)-LENB(F208))/$A$1,3),((ROUND(LEFT(F208,2*LEN(F208)-LENB(F208))/$A$1,3))*VLOOKUP(J208,食材表!$A:$B,2,FALSE))),"")</f>
        <v/>
      </c>
      <c r="L208" s="344"/>
      <c r="M208" s="344"/>
      <c r="N208" s="344"/>
      <c r="O208" s="344"/>
      <c r="P208" s="344"/>
      <c r="Q208" s="344"/>
      <c r="R208" s="344"/>
      <c r="S208" s="344"/>
    </row>
    <row r="209" spans="1:19">
      <c r="A209" s="33" t="str">
        <f>"1"&amp;+$B209</f>
        <v>1玉米絞肉粥</v>
      </c>
      <c r="B209" s="368" t="s">
        <v>155</v>
      </c>
      <c r="C209" s="60" t="s">
        <v>138</v>
      </c>
      <c r="D209" s="59">
        <v>0.6</v>
      </c>
      <c r="E209" s="75" t="s">
        <v>137</v>
      </c>
      <c r="F209" s="59">
        <v>1</v>
      </c>
      <c r="G209" s="352" t="str">
        <f>B209</f>
        <v>玉米絞肉粥</v>
      </c>
      <c r="H209" s="91" t="str">
        <f>C209</f>
        <v>豬絞肉</v>
      </c>
      <c r="I209" s="83">
        <f>IFERROR(IF(LEN(D209)=LENB(D209),ROUND(LEFT(D209,2*LEN(D209)-LENB(D209))/$A$1,3),((ROUND(LEFT(D209,2*LEN(D209)-LENB(D209))/$A$1,3))*VLOOKUP(H209,食材表!$A:$B,2,FALSE))),"")</f>
        <v>1.2E-2</v>
      </c>
      <c r="J209" s="91" t="str">
        <f>E209</f>
        <v>南瓜</v>
      </c>
      <c r="K209" s="83">
        <f>IFERROR(IF(LEN(F209)=LENB(F209),ROUND(LEFT(F209,2*LEN(F209)-LENB(F209))/$A$1,3),((ROUND(LEFT(F209,2*LEN(F209)-LENB(F209))/$A$1,3))*VLOOKUP(J209,食材表!$A:$B,2,FALSE))),"")</f>
        <v>0.02</v>
      </c>
      <c r="L209" s="342">
        <f>IFERROR($I209*VLOOKUP($H209,食材表!$A:C,3,FALSE),0)+IFERROR($I210*VLOOKUP($H210,食材表!$A:C,3,FALSE),0)+IFERROR($I211*VLOOKUP($H211,食材表!$A:C,3,FALSE),0)+IFERROR($K209*VLOOKUP($J209,食材表!$A:C,3,FALSE),0)+IFERROR($K210*VLOOKUP($J210,食材表!$A:C,3,FALSE),0)+IFERROR($K211*VLOOKUP($J211,食材表!$A:C,3,FALSE),0)</f>
        <v>1.5952941176470588</v>
      </c>
      <c r="M209" s="342">
        <f>IFERROR($I209*VLOOKUP($H209,食材表!$A:D,4,FALSE),0)+IFERROR($I210*VLOOKUP($H210,食材表!$A:D,4,FALSE),0)+IFERROR($I211*VLOOKUP($H211,食材表!$A:D,4,FALSE),0)+IFERROR($K209*VLOOKUP($J209,食材表!$A:D,4,FALSE),0)+IFERROR($K210*VLOOKUP($J210,食材表!$A:D,4,FALSE),0)+IFERROR($K211*VLOOKUP($J211,食材表!$A:D,4,FALSE),0)</f>
        <v>0.34285714285714286</v>
      </c>
      <c r="N209" s="342">
        <f>IFERROR($I209*VLOOKUP($H209,食材表!$A:E,5,FALSE),0)+IFERROR($I210*VLOOKUP($H210,食材表!$A:E,5,FALSE),0)+IFERROR($I211*VLOOKUP($H211,食材表!$A:E,5,FALSE),0)+IFERROR($K209*VLOOKUP($J209,食材表!$A:E,5,FALSE),0)+IFERROR($K210*VLOOKUP($J210,食材表!$A:E,5,FALSE),0)+IFERROR($K211*VLOOKUP($J211,食材表!$A:E,5,FALSE),0)</f>
        <v>0</v>
      </c>
      <c r="O209" s="342">
        <f>IFERROR($I209*VLOOKUP($H209,食材表!$A:F,6,FALSE),0)+IFERROR($I210*VLOOKUP($H210,食材表!$A:F,6,FALSE),0)+IFERROR($I211*VLOOKUP($H211,食材表!$A:F,6,FALSE),0)+IFERROR($K209*VLOOKUP($J209,食材表!$A:F,6,FALSE),0)+IFERROR($K210*VLOOKUP($J210,食材表!$A:F,6,FALSE),0)+IFERROR($K211*VLOOKUP($J211,食材表!$A:F,6,FALSE),0)</f>
        <v>0</v>
      </c>
      <c r="P209" s="342">
        <f>IFERROR($I209*VLOOKUP($H209,食材表!$A:G,7,FALSE),0)+IFERROR($I210*VLOOKUP($H210,食材表!$A:G,7,FALSE),0)+IFERROR($I211*VLOOKUP($H211,食材表!$A:G,7,FALSE),0)+IFERROR($K209*VLOOKUP($J209,食材表!$A:G,7,FALSE),0)+IFERROR($K210*VLOOKUP($J210,食材表!$A:G,7,FALSE),0)+IFERROR($K211*VLOOKUP($J211,食材表!$A:G,7,FALSE),0)</f>
        <v>0</v>
      </c>
      <c r="Q209" s="342">
        <f>IFERROR($I209*VLOOKUP($H209,食材表!$A:H,8,FALSE),0)+IFERROR($I210*VLOOKUP($H210,食材表!$A:H,8,FALSE),0)+IFERROR($I211*VLOOKUP($H211,食材表!$A:H,8,FALSE),0)+IFERROR($K209*VLOOKUP($J209,食材表!$A:H,8,FALSE),0)+IFERROR($K210*VLOOKUP($J210,食材表!$A:H,8,FALSE),0)+IFERROR($K211*VLOOKUP($J211,食材表!$A:H,8,FALSE),0)</f>
        <v>0</v>
      </c>
      <c r="R209" s="342">
        <f>IFERROR($I209*VLOOKUP($H209,食材表!$A:I,9,FALSE),0)+IFERROR($I210*VLOOKUP($H210,食材表!$A:I,9,FALSE),0)+IFERROR($I211*VLOOKUP($H211,食材表!$A:I,9,FALSE),0)+IFERROR($K209*VLOOKUP($J209,食材表!$A:I,9,FALSE),0)+IFERROR($K210*VLOOKUP($J210,食材表!$A:I,9,FALSE),0)+IFERROR($K211*VLOOKUP($J211,食材表!$A:I,9,FALSE),0)</f>
        <v>0</v>
      </c>
      <c r="S209" s="342">
        <f>SUM(L209*70+M209*75+N209*120+O209*25+P209*60+Q209*45+R209*4)</f>
        <v>137.38487394957983</v>
      </c>
    </row>
    <row r="210" spans="1:19">
      <c r="A210" s="33" t="str">
        <f>"2"&amp;+$B209</f>
        <v>2玉米絞肉粥</v>
      </c>
      <c r="B210" s="369"/>
      <c r="C210" s="22" t="s">
        <v>153</v>
      </c>
      <c r="D210" s="36" t="s">
        <v>986</v>
      </c>
      <c r="E210" s="23"/>
      <c r="F210" s="36"/>
      <c r="G210" s="353"/>
      <c r="H210" s="93" t="str">
        <f t="shared" ref="H210:H211" si="143">C210</f>
        <v>玉米粒罐頭</v>
      </c>
      <c r="I210" s="86">
        <f>IFERROR(IF(LEN(D210)=LENB(D210),ROUND(LEFT(D210,2*LEN(D210)-LENB(D210))/$A$1,3),((ROUND(LEFT(D210,2*LEN(D210)-LENB(D210))/$A$1,3))*VLOOKUP(H210,食材表!$A:$B,2,FALSE))),"")</f>
        <v>1.3600000000000001E-2</v>
      </c>
      <c r="J210" s="93">
        <f t="shared" ref="J210:J211" si="144">E210</f>
        <v>0</v>
      </c>
      <c r="K210" s="86" t="str">
        <f>IFERROR(IF(LEN(F210)=LENB(F210),ROUND(LEFT(F210,2*LEN(F210)-LENB(F210))/$A$1,3),((ROUND(LEFT(F210,2*LEN(F210)-LENB(F210))/$A$1,3))*VLOOKUP(J210,食材表!$A:$B,2,FALSE))),"")</f>
        <v/>
      </c>
      <c r="L210" s="343"/>
      <c r="M210" s="343"/>
      <c r="N210" s="343"/>
      <c r="O210" s="343"/>
      <c r="P210" s="343"/>
      <c r="Q210" s="343"/>
      <c r="R210" s="343"/>
      <c r="S210" s="343"/>
    </row>
    <row r="211" spans="1:19">
      <c r="A211" s="33" t="str">
        <f>"3"&amp;+$B209</f>
        <v>3玉米絞肉粥</v>
      </c>
      <c r="B211" s="370"/>
      <c r="C211" s="26" t="s">
        <v>12</v>
      </c>
      <c r="D211" s="37">
        <v>1.2</v>
      </c>
      <c r="E211" s="25"/>
      <c r="F211" s="37"/>
      <c r="G211" s="354"/>
      <c r="H211" s="92" t="str">
        <f t="shared" si="143"/>
        <v>白米</v>
      </c>
      <c r="I211" s="84">
        <f>IFERROR(IF(LEN(D211)=LENB(D211),ROUND(LEFT(D211,2*LEN(D211)-LENB(D211))/$A$1,3),((ROUND(LEFT(D211,2*LEN(D211)-LENB(D211))/$A$1,3))*VLOOKUP(H211,食材表!$A:$B,2,FALSE))),"")</f>
        <v>2.4E-2</v>
      </c>
      <c r="J211" s="92">
        <f t="shared" si="144"/>
        <v>0</v>
      </c>
      <c r="K211" s="85" t="str">
        <f>IFERROR(IF(LEN(F211)=LENB(F211),ROUND(LEFT(F211,2*LEN(F211)-LENB(F211))/$A$1,3),((ROUND(LEFT(F211,2*LEN(F211)-LENB(F211))/$A$1,3))*VLOOKUP(J211,食材表!$A:$B,2,FALSE))),"")</f>
        <v/>
      </c>
      <c r="L211" s="344"/>
      <c r="M211" s="344"/>
      <c r="N211" s="344"/>
      <c r="O211" s="344"/>
      <c r="P211" s="344"/>
      <c r="Q211" s="344"/>
      <c r="R211" s="344"/>
      <c r="S211" s="344"/>
    </row>
    <row r="212" spans="1:19">
      <c r="A212" s="33" t="str">
        <f>"1"&amp;+$B212</f>
        <v>1金銀蛋粥</v>
      </c>
      <c r="B212" s="356" t="s">
        <v>1004</v>
      </c>
      <c r="C212" s="31" t="s">
        <v>48</v>
      </c>
      <c r="D212" s="33" t="s">
        <v>178</v>
      </c>
      <c r="E212" s="27" t="s">
        <v>12</v>
      </c>
      <c r="F212" s="33">
        <v>1.2</v>
      </c>
      <c r="G212" s="352" t="str">
        <f>B212</f>
        <v>金銀蛋粥</v>
      </c>
      <c r="H212" s="91" t="str">
        <f>C212</f>
        <v>雞蛋</v>
      </c>
      <c r="I212" s="83">
        <f>IFERROR(IF(LEN(D212)=LENB(D212),ROUND(LEFT(D212,2*LEN(D212)-LENB(D212))/$A$1,3),((ROUND(LEFT(D212,2*LEN(D212)-LENB(D212))/$A$1,3))*VLOOKUP(H212,食材表!$A:$B,2,FALSE))),"")</f>
        <v>1.2E-2</v>
      </c>
      <c r="J212" s="91" t="str">
        <f>E212</f>
        <v>白米</v>
      </c>
      <c r="K212" s="83">
        <f>IFERROR(IF(LEN(F212)=LENB(F212),ROUND(LEFT(F212,2*LEN(F212)-LENB(F212))/$A$1,3),((ROUND(LEFT(F212,2*LEN(F212)-LENB(F212))/$A$1,3))*VLOOKUP(J212,食材表!$A:$B,2,FALSE))),"")</f>
        <v>2.4E-2</v>
      </c>
      <c r="L212" s="342">
        <f>IFERROR($I212*VLOOKUP($H212,食材表!$A:C,3,FALSE),0)+IFERROR($I213*VLOOKUP($H213,食材表!$A:C,3,FALSE),0)+IFERROR($I214*VLOOKUP($H214,食材表!$A:C,3,FALSE),0)+IFERROR($K212*VLOOKUP($J212,食材表!$A:C,3,FALSE),0)+IFERROR($K213*VLOOKUP($J213,食材表!$A:C,3,FALSE),0)+IFERROR($K214*VLOOKUP($J214,食材表!$A:C,3,FALSE),0)</f>
        <v>1.2</v>
      </c>
      <c r="M212" s="342">
        <f>IFERROR($I212*VLOOKUP($H212,食材表!$A:D,4,FALSE),0)+IFERROR($I213*VLOOKUP($H213,食材表!$A:D,4,FALSE),0)+IFERROR($I214*VLOOKUP($H214,食材表!$A:D,4,FALSE),0)+IFERROR($K212*VLOOKUP($J212,食材表!$A:D,4,FALSE),0)+IFERROR($K213*VLOOKUP($J213,食材表!$A:D,4,FALSE),0)+IFERROR($K214*VLOOKUP($J214,食材表!$A:D,4,FALSE),0)</f>
        <v>0.86347252747252756</v>
      </c>
      <c r="N212" s="342">
        <f>IFERROR($I212*VLOOKUP($H212,食材表!$A:E,5,FALSE),0)+IFERROR($I213*VLOOKUP($H213,食材表!$A:E,5,FALSE),0)+IFERROR($I214*VLOOKUP($H214,食材表!$A:E,5,FALSE),0)+IFERROR($K212*VLOOKUP($J212,食材表!$A:E,5,FALSE),0)+IFERROR($K213*VLOOKUP($J213,食材表!$A:E,5,FALSE),0)+IFERROR($K214*VLOOKUP($J214,食材表!$A:E,5,FALSE),0)</f>
        <v>0</v>
      </c>
      <c r="O212" s="342">
        <f>IFERROR($I212*VLOOKUP($H212,食材表!$A:F,6,FALSE),0)+IFERROR($I213*VLOOKUP($H213,食材表!$A:F,6,FALSE),0)+IFERROR($I214*VLOOKUP($H214,食材表!$A:F,6,FALSE),0)+IFERROR($K212*VLOOKUP($J212,食材表!$A:F,6,FALSE),0)+IFERROR($K213*VLOOKUP($J213,食材表!$A:F,6,FALSE),0)+IFERROR($K214*VLOOKUP($J214,食材表!$A:F,6,FALSE),0)</f>
        <v>0.2</v>
      </c>
      <c r="P212" s="342">
        <f>IFERROR($I212*VLOOKUP($H212,食材表!$A:G,7,FALSE),0)+IFERROR($I213*VLOOKUP($H213,食材表!$A:G,7,FALSE),0)+IFERROR($I214*VLOOKUP($H214,食材表!$A:G,7,FALSE),0)+IFERROR($K212*VLOOKUP($J212,食材表!$A:G,7,FALSE),0)+IFERROR($K213*VLOOKUP($J213,食材表!$A:G,7,FALSE),0)+IFERROR($K214*VLOOKUP($J214,食材表!$A:G,7,FALSE),0)</f>
        <v>0</v>
      </c>
      <c r="Q212" s="342">
        <f>IFERROR($I212*VLOOKUP($H212,食材表!$A:H,8,FALSE),0)+IFERROR($I213*VLOOKUP($H213,食材表!$A:H,8,FALSE),0)+IFERROR($I214*VLOOKUP($H214,食材表!$A:H,8,FALSE),0)+IFERROR($K212*VLOOKUP($J212,食材表!$A:H,8,FALSE),0)+IFERROR($K213*VLOOKUP($J213,食材表!$A:H,8,FALSE),0)+IFERROR($K214*VLOOKUP($J214,食材表!$A:H,8,FALSE),0)</f>
        <v>0</v>
      </c>
      <c r="R212" s="342">
        <f>IFERROR($I212*VLOOKUP($H212,食材表!$A:I,9,FALSE),0)+IFERROR($I213*VLOOKUP($H213,食材表!$A:I,9,FALSE),0)+IFERROR($I214*VLOOKUP($H214,食材表!$A:I,9,FALSE),0)+IFERROR($K212*VLOOKUP($J212,食材表!$A:I,9,FALSE),0)+IFERROR($K213*VLOOKUP($J213,食材表!$A:I,9,FALSE),0)+IFERROR($K214*VLOOKUP($J214,食材表!$A:I,9,FALSE),0)</f>
        <v>0</v>
      </c>
      <c r="S212" s="342">
        <f>SUM(L212*70+M212*75+N212*120+O212*25+P212*60+Q212*45+R212*4)</f>
        <v>153.76043956043958</v>
      </c>
    </row>
    <row r="213" spans="1:19">
      <c r="A213" s="33" t="str">
        <f>"2"&amp;+$B212</f>
        <v>2金銀蛋粥</v>
      </c>
      <c r="B213" s="390"/>
      <c r="C213" s="49" t="s">
        <v>179</v>
      </c>
      <c r="D213" s="33" t="s">
        <v>1005</v>
      </c>
      <c r="E213" s="22" t="s">
        <v>47</v>
      </c>
      <c r="F213" s="33">
        <v>0.6</v>
      </c>
      <c r="G213" s="353"/>
      <c r="H213" s="93" t="str">
        <f t="shared" ref="H213:H214" si="145">C213</f>
        <v>皮蛋</v>
      </c>
      <c r="I213" s="86">
        <f>IFERROR(IF(LEN(D213)=LENB(D213),ROUND(LEFT(D213,2*LEN(D213)-LENB(D213))/$A$1,3),((ROUND(LEFT(D213,2*LEN(D213)-LENB(D213))/$A$1,3))*VLOOKUP(H213,食材表!$A:$B,2,FALSE))),"")</f>
        <v>0.28000000000000003</v>
      </c>
      <c r="J213" s="93" t="str">
        <f t="shared" ref="J213:J214" si="146">E213</f>
        <v>豬肉絲</v>
      </c>
      <c r="K213" s="86">
        <f>IFERROR(IF(LEN(F213)=LENB(F213),ROUND(LEFT(F213,2*LEN(F213)-LENB(F213))/$A$1,3),((ROUND(LEFT(F213,2*LEN(F213)-LENB(F213))/$A$1,3))*VLOOKUP(J213,食材表!$A:$B,2,FALSE))),"")</f>
        <v>1.2E-2</v>
      </c>
      <c r="L213" s="343"/>
      <c r="M213" s="343"/>
      <c r="N213" s="343"/>
      <c r="O213" s="343"/>
      <c r="P213" s="343"/>
      <c r="Q213" s="343"/>
      <c r="R213" s="343"/>
      <c r="S213" s="343"/>
    </row>
    <row r="214" spans="1:19">
      <c r="A214" s="33" t="str">
        <f>"3"&amp;+$B212</f>
        <v>3金銀蛋粥</v>
      </c>
      <c r="B214" s="357"/>
      <c r="C214" s="28" t="s">
        <v>165</v>
      </c>
      <c r="D214" s="33">
        <v>1</v>
      </c>
      <c r="E214" s="29"/>
      <c r="F214" s="8"/>
      <c r="G214" s="354"/>
      <c r="H214" s="92" t="str">
        <f t="shared" si="145"/>
        <v>小白菜</v>
      </c>
      <c r="I214" s="84">
        <f>IFERROR(IF(LEN(D214)=LENB(D214),ROUND(LEFT(D214,2*LEN(D214)-LENB(D214))/$A$1,3),((ROUND(LEFT(D214,2*LEN(D214)-LENB(D214))/$A$1,3))*VLOOKUP(H214,食材表!$A:$B,2,FALSE))),"")</f>
        <v>0.02</v>
      </c>
      <c r="J214" s="92">
        <f t="shared" si="146"/>
        <v>0</v>
      </c>
      <c r="K214" s="85" t="str">
        <f>IFERROR(IF(LEN(F214)=LENB(F214),ROUND(LEFT(F214,2*LEN(F214)-LENB(F214))/$A$1,3),((ROUND(LEFT(F214,2*LEN(F214)-LENB(F214))/$A$1,3))*VLOOKUP(J214,食材表!$A:$B,2,FALSE))),"")</f>
        <v/>
      </c>
      <c r="L214" s="344"/>
      <c r="M214" s="344"/>
      <c r="N214" s="344"/>
      <c r="O214" s="344"/>
      <c r="P214" s="344"/>
      <c r="Q214" s="344"/>
      <c r="R214" s="344"/>
      <c r="S214" s="344"/>
    </row>
    <row r="215" spans="1:19">
      <c r="A215" s="33" t="str">
        <f>"1"&amp;+$B215</f>
        <v>1什錦鹹粥</v>
      </c>
      <c r="B215" s="368" t="s">
        <v>210</v>
      </c>
      <c r="C215" s="60" t="s">
        <v>211</v>
      </c>
      <c r="D215" s="59" t="s">
        <v>1036</v>
      </c>
      <c r="E215" s="75" t="s">
        <v>212</v>
      </c>
      <c r="F215" s="59">
        <v>0.6</v>
      </c>
      <c r="G215" s="352" t="str">
        <f>B215</f>
        <v>什錦鹹粥</v>
      </c>
      <c r="H215" s="91" t="str">
        <f>C215</f>
        <v>玉米粒</v>
      </c>
      <c r="I215" s="83">
        <f>IFERROR(IF(LEN(D215)=LENB(D215),ROUND(LEFT(D215,2*LEN(D215)-LENB(D215))/$A$1,3),((ROUND(LEFT(D215,2*LEN(D215)-LENB(D215))/$A$1,3))*VLOOKUP(H215,食材表!$A:$B,2,FALSE))),"")</f>
        <v>2.0400000000000001E-2</v>
      </c>
      <c r="J215" s="91" t="str">
        <f>E215</f>
        <v>豬肉絲</v>
      </c>
      <c r="K215" s="83">
        <f>IFERROR(IF(LEN(F215)=LENB(F215),ROUND(LEFT(F215,2*LEN(F215)-LENB(F215))/$A$1,3),((ROUND(LEFT(F215,2*LEN(F215)-LENB(F215))/$A$1,3))*VLOOKUP(J215,食材表!$A:$B,2,FALSE))),"")</f>
        <v>1.2E-2</v>
      </c>
      <c r="L215" s="342">
        <f>IFERROR($I215*VLOOKUP($H215,食材表!$A:C,3,FALSE),0)+IFERROR($I216*VLOOKUP($H216,食材表!$A:C,3,FALSE),0)+IFERROR($I217*VLOOKUP($H217,食材表!$A:C,3,FALSE),0)+IFERROR($K215*VLOOKUP($J215,食材表!$A:C,3,FALSE),0)+IFERROR($K216*VLOOKUP($J216,食材表!$A:C,3,FALSE),0)+IFERROR($K217*VLOOKUP($J217,食材表!$A:C,3,FALSE),0)</f>
        <v>1.44</v>
      </c>
      <c r="M215" s="342">
        <f>IFERROR($I215*VLOOKUP($H215,食材表!$A:D,4,FALSE),0)+IFERROR($I216*VLOOKUP($H216,食材表!$A:D,4,FALSE),0)+IFERROR($I217*VLOOKUP($H217,食材表!$A:D,4,FALSE),0)+IFERROR($K215*VLOOKUP($J215,食材表!$A:D,4,FALSE),0)+IFERROR($K216*VLOOKUP($J216,食材表!$A:D,4,FALSE),0)+IFERROR($K217*VLOOKUP($J217,食材表!$A:D,4,FALSE),0)</f>
        <v>0.34285714285714286</v>
      </c>
      <c r="N215" s="342">
        <f>IFERROR($I215*VLOOKUP($H215,食材表!$A:E,5,FALSE),0)+IFERROR($I216*VLOOKUP($H216,食材表!$A:E,5,FALSE),0)+IFERROR($I217*VLOOKUP($H217,食材表!$A:E,5,FALSE),0)+IFERROR($K215*VLOOKUP($J215,食材表!$A:E,5,FALSE),0)+IFERROR($K216*VLOOKUP($J216,食材表!$A:E,5,FALSE),0)+IFERROR($K217*VLOOKUP($J217,食材表!$A:E,5,FALSE),0)</f>
        <v>0</v>
      </c>
      <c r="O215" s="342">
        <f>IFERROR($I215*VLOOKUP($H215,食材表!$A:F,6,FALSE),0)+IFERROR($I216*VLOOKUP($H216,食材表!$A:F,6,FALSE),0)+IFERROR($I217*VLOOKUP($H217,食材表!$A:F,6,FALSE),0)+IFERROR($K215*VLOOKUP($J215,食材表!$A:F,6,FALSE),0)+IFERROR($K216*VLOOKUP($J216,食材表!$A:F,6,FALSE),0)+IFERROR($K217*VLOOKUP($J217,食材表!$A:F,6,FALSE),0)</f>
        <v>0.25</v>
      </c>
      <c r="P215" s="342">
        <f>IFERROR($I215*VLOOKUP($H215,食材表!$A:G,7,FALSE),0)+IFERROR($I216*VLOOKUP($H216,食材表!$A:G,7,FALSE),0)+IFERROR($I217*VLOOKUP($H217,食材表!$A:G,7,FALSE),0)+IFERROR($K215*VLOOKUP($J215,食材表!$A:G,7,FALSE),0)+IFERROR($K216*VLOOKUP($J216,食材表!$A:G,7,FALSE),0)+IFERROR($K217*VLOOKUP($J217,食材表!$A:G,7,FALSE),0)</f>
        <v>0</v>
      </c>
      <c r="Q215" s="342">
        <f>IFERROR($I215*VLOOKUP($H215,食材表!$A:H,8,FALSE),0)+IFERROR($I216*VLOOKUP($H216,食材表!$A:H,8,FALSE),0)+IFERROR($I217*VLOOKUP($H217,食材表!$A:H,8,FALSE),0)+IFERROR($K215*VLOOKUP($J215,食材表!$A:H,8,FALSE),0)+IFERROR($K216*VLOOKUP($J216,食材表!$A:H,8,FALSE),0)+IFERROR($K217*VLOOKUP($J217,食材表!$A:H,8,FALSE),0)</f>
        <v>0</v>
      </c>
      <c r="R215" s="342">
        <f>IFERROR($I215*VLOOKUP($H215,食材表!$A:I,9,FALSE),0)+IFERROR($I216*VLOOKUP($H216,食材表!$A:I,9,FALSE),0)+IFERROR($I217*VLOOKUP($H217,食材表!$A:I,9,FALSE),0)+IFERROR($K215*VLOOKUP($J215,食材表!$A:I,9,FALSE),0)+IFERROR($K216*VLOOKUP($J216,食材表!$A:I,9,FALSE),0)+IFERROR($K217*VLOOKUP($J217,食材表!$A:I,9,FALSE),0)</f>
        <v>0</v>
      </c>
      <c r="S215" s="342">
        <f>SUM(L215*70+M215*75+N215*120+O215*25+P215*60+Q215*45+R215*4)</f>
        <v>132.76428571428571</v>
      </c>
    </row>
    <row r="216" spans="1:19">
      <c r="A216" s="33" t="str">
        <f>"2"&amp;+$B215</f>
        <v>2什錦鹹粥</v>
      </c>
      <c r="B216" s="369"/>
      <c r="C216" s="22" t="s">
        <v>213</v>
      </c>
      <c r="D216" s="36">
        <v>1</v>
      </c>
      <c r="E216" s="23" t="s">
        <v>214</v>
      </c>
      <c r="F216" s="36">
        <v>1.2</v>
      </c>
      <c r="G216" s="353"/>
      <c r="H216" s="93" t="str">
        <f t="shared" ref="H216:H217" si="147">C216</f>
        <v>高麗菜</v>
      </c>
      <c r="I216" s="86">
        <f>IFERROR(IF(LEN(D216)=LENB(D216),ROUND(LEFT(D216,2*LEN(D216)-LENB(D216))/$A$1,3),((ROUND(LEFT(D216,2*LEN(D216)-LENB(D216))/$A$1,3))*VLOOKUP(H216,食材表!$A:$B,2,FALSE))),"")</f>
        <v>0.02</v>
      </c>
      <c r="J216" s="93" t="str">
        <f t="shared" ref="J216:J217" si="148">E216</f>
        <v>白米</v>
      </c>
      <c r="K216" s="86">
        <f>IFERROR(IF(LEN(F216)=LENB(F216),ROUND(LEFT(F216,2*LEN(F216)-LENB(F216))/$A$1,3),((ROUND(LEFT(F216,2*LEN(F216)-LENB(F216))/$A$1,3))*VLOOKUP(J216,食材表!$A:$B,2,FALSE))),"")</f>
        <v>2.4E-2</v>
      </c>
      <c r="L216" s="343"/>
      <c r="M216" s="343"/>
      <c r="N216" s="343"/>
      <c r="O216" s="343"/>
      <c r="P216" s="343"/>
      <c r="Q216" s="343"/>
      <c r="R216" s="343"/>
      <c r="S216" s="343"/>
    </row>
    <row r="217" spans="1:19">
      <c r="A217" s="33" t="str">
        <f>"3"&amp;+$B215</f>
        <v>3什錦鹹粥</v>
      </c>
      <c r="B217" s="370"/>
      <c r="C217" s="26" t="s">
        <v>215</v>
      </c>
      <c r="D217" s="37" t="s">
        <v>958</v>
      </c>
      <c r="E217" s="25"/>
      <c r="F217" s="37"/>
      <c r="G217" s="354"/>
      <c r="H217" s="92" t="str">
        <f t="shared" si="147"/>
        <v>紅蘿蔔</v>
      </c>
      <c r="I217" s="84">
        <f>IFERROR(IF(LEN(D217)=LENB(D217),ROUND(LEFT(D217,2*LEN(D217)-LENB(D217))/$A$1,3),((ROUND(LEFT(D217,2*LEN(D217)-LENB(D217))/$A$1,3))*VLOOKUP(H217,食材表!$A:$B,2,FALSE))),"")</f>
        <v>5.0000000000000001E-3</v>
      </c>
      <c r="J217" s="92">
        <f t="shared" si="148"/>
        <v>0</v>
      </c>
      <c r="K217" s="85" t="str">
        <f>IFERROR(IF(LEN(F217)=LENB(F217),ROUND(LEFT(F217,2*LEN(F217)-LENB(F217))/$A$1,3),((ROUND(LEFT(F217,2*LEN(F217)-LENB(F217))/$A$1,3))*VLOOKUP(J217,食材表!$A:$B,2,FALSE))),"")</f>
        <v/>
      </c>
      <c r="L217" s="344"/>
      <c r="M217" s="344"/>
      <c r="N217" s="344"/>
      <c r="O217" s="344"/>
      <c r="P217" s="344"/>
      <c r="Q217" s="344"/>
      <c r="R217" s="344"/>
      <c r="S217" s="344"/>
    </row>
    <row r="218" spans="1:19">
      <c r="A218" s="33" t="str">
        <f>"1"&amp;+$B218</f>
        <v>1養生粥</v>
      </c>
      <c r="B218" s="356" t="s">
        <v>1052</v>
      </c>
      <c r="C218" s="31" t="s">
        <v>429</v>
      </c>
      <c r="D218" s="33">
        <v>0.6</v>
      </c>
      <c r="E218" s="27" t="s">
        <v>123</v>
      </c>
      <c r="F218" s="33">
        <v>0.1</v>
      </c>
      <c r="G218" s="352" t="str">
        <f>B218</f>
        <v>養生粥</v>
      </c>
      <c r="H218" s="91" t="str">
        <f>C218</f>
        <v>雞絞肉</v>
      </c>
      <c r="I218" s="83">
        <f>IFERROR(IF(LEN(D218)=LENB(D218),ROUND(LEFT(D218,2*LEN(D218)-LENB(D218))/$A$1,3),((ROUND(LEFT(D218,2*LEN(D218)-LENB(D218))/$A$1,3))*VLOOKUP(H218,食材表!$A:$B,2,FALSE))),"")</f>
        <v>1.2E-2</v>
      </c>
      <c r="J218" s="91" t="str">
        <f>E218</f>
        <v>紅棗</v>
      </c>
      <c r="K218" s="83">
        <f>IFERROR(IF(LEN(F218)=LENB(F218),ROUND(LEFT(F218,2*LEN(F218)-LENB(F218))/$A$1,3),((ROUND(LEFT(F218,2*LEN(F218)-LENB(F218))/$A$1,3))*VLOOKUP(J218,食材表!$A:$B,2,FALSE))),"")</f>
        <v>2E-3</v>
      </c>
      <c r="L218" s="342">
        <f>IFERROR($I218*VLOOKUP($H218,食材表!$A:C,3,FALSE),0)+IFERROR($I219*VLOOKUP($H219,食材表!$A:C,3,FALSE),0)+IFERROR($I220*VLOOKUP($H220,食材表!$A:C,3,FALSE),0)+IFERROR($K218*VLOOKUP($J218,食材表!$A:C,3,FALSE),0)+IFERROR($K219*VLOOKUP($J219,食材表!$A:C,3,FALSE),0)+IFERROR($K220*VLOOKUP($J220,食材表!$A:C,3,FALSE),0)</f>
        <v>1.4181818181818182</v>
      </c>
      <c r="M218" s="342">
        <f>IFERROR($I218*VLOOKUP($H218,食材表!$A:D,4,FALSE),0)+IFERROR($I219*VLOOKUP($H219,食材表!$A:D,4,FALSE),0)+IFERROR($I220*VLOOKUP($H220,食材表!$A:D,4,FALSE),0)+IFERROR($K218*VLOOKUP($J218,食材表!$A:D,4,FALSE),0)+IFERROR($K219*VLOOKUP($J219,食材表!$A:D,4,FALSE),0)+IFERROR($K220*VLOOKUP($J220,食材表!$A:D,4,FALSE),0)</f>
        <v>0.4</v>
      </c>
      <c r="N218" s="342">
        <f>IFERROR($I218*VLOOKUP($H218,食材表!$A:E,5,FALSE),0)+IFERROR($I219*VLOOKUP($H219,食材表!$A:E,5,FALSE),0)+IFERROR($I220*VLOOKUP($H220,食材表!$A:E,5,FALSE),0)+IFERROR($K218*VLOOKUP($J218,食材表!$A:E,5,FALSE),0)+IFERROR($K219*VLOOKUP($J219,食材表!$A:E,5,FALSE),0)+IFERROR($K220*VLOOKUP($J220,食材表!$A:E,5,FALSE),0)</f>
        <v>0</v>
      </c>
      <c r="O218" s="342">
        <f>IFERROR($I218*VLOOKUP($H218,食材表!$A:F,6,FALSE),0)+IFERROR($I219*VLOOKUP($H219,食材表!$A:F,6,FALSE),0)+IFERROR($I220*VLOOKUP($H220,食材表!$A:F,6,FALSE),0)+IFERROR($K218*VLOOKUP($J218,食材表!$A:F,6,FALSE),0)+IFERROR($K219*VLOOKUP($J219,食材表!$A:F,6,FALSE),0)+IFERROR($K220*VLOOKUP($J220,食材表!$A:F,6,FALSE),0)</f>
        <v>0</v>
      </c>
      <c r="P218" s="342">
        <f>IFERROR($I218*VLOOKUP($H218,食材表!$A:G,7,FALSE),0)+IFERROR($I219*VLOOKUP($H219,食材表!$A:G,7,FALSE),0)+IFERROR($I220*VLOOKUP($H220,食材表!$A:G,7,FALSE),0)+IFERROR($K218*VLOOKUP($J218,食材表!$A:G,7,FALSE),0)+IFERROR($K219*VLOOKUP($J219,食材表!$A:G,7,FALSE),0)+IFERROR($K220*VLOOKUP($J220,食材表!$A:G,7,FALSE),0)</f>
        <v>0</v>
      </c>
      <c r="Q218" s="342">
        <f>IFERROR($I218*VLOOKUP($H218,食材表!$A:H,8,FALSE),0)+IFERROR($I219*VLOOKUP($H219,食材表!$A:H,8,FALSE),0)+IFERROR($I220*VLOOKUP($H220,食材表!$A:H,8,FALSE),0)+IFERROR($K218*VLOOKUP($J218,食材表!$A:H,8,FALSE),0)+IFERROR($K219*VLOOKUP($J219,食材表!$A:H,8,FALSE),0)+IFERROR($K220*VLOOKUP($J220,食材表!$A:H,8,FALSE),0)</f>
        <v>0</v>
      </c>
      <c r="R218" s="342">
        <f>IFERROR($I218*VLOOKUP($H218,食材表!$A:I,9,FALSE),0)+IFERROR($I219*VLOOKUP($H219,食材表!$A:I,9,FALSE),0)+IFERROR($I220*VLOOKUP($H220,食材表!$A:I,9,FALSE),0)+IFERROR($K218*VLOOKUP($J218,食材表!$A:I,9,FALSE),0)+IFERROR($K219*VLOOKUP($J219,食材表!$A:I,9,FALSE),0)+IFERROR($K220*VLOOKUP($J220,食材表!$A:I,9,FALSE),0)</f>
        <v>0</v>
      </c>
      <c r="S218" s="342">
        <f>SUM(L218*70+M218*75+N218*120+O218*25+P218*60+Q218*45+R218*4)</f>
        <v>129.27272727272728</v>
      </c>
    </row>
    <row r="219" spans="1:19">
      <c r="A219" s="33" t="str">
        <f>"2"&amp;+$B218</f>
        <v>2養生粥</v>
      </c>
      <c r="B219" s="390"/>
      <c r="C219" s="49" t="s">
        <v>45</v>
      </c>
      <c r="D219" s="33">
        <v>0.6</v>
      </c>
      <c r="E219" s="22" t="s">
        <v>124</v>
      </c>
      <c r="F219" s="33">
        <v>0.1</v>
      </c>
      <c r="G219" s="353"/>
      <c r="H219" s="93" t="str">
        <f t="shared" ref="H219:H220" si="149">C219</f>
        <v>地瓜</v>
      </c>
      <c r="I219" s="86">
        <f>IFERROR(IF(LEN(D219)=LENB(D219),ROUND(LEFT(D219,2*LEN(D219)-LENB(D219))/$A$1,3),((ROUND(LEFT(D219,2*LEN(D219)-LENB(D219))/$A$1,3))*VLOOKUP(H219,食材表!$A:$B,2,FALSE))),"")</f>
        <v>1.2E-2</v>
      </c>
      <c r="J219" s="93" t="str">
        <f t="shared" ref="J219:J220" si="150">E219</f>
        <v>枸杞</v>
      </c>
      <c r="K219" s="86">
        <f>IFERROR(IF(LEN(F219)=LENB(F219),ROUND(LEFT(F219,2*LEN(F219)-LENB(F219))/$A$1,3),((ROUND(LEFT(F219,2*LEN(F219)-LENB(F219))/$A$1,3))*VLOOKUP(J219,食材表!$A:$B,2,FALSE))),"")</f>
        <v>2E-3</v>
      </c>
      <c r="L219" s="343"/>
      <c r="M219" s="343"/>
      <c r="N219" s="343"/>
      <c r="O219" s="343"/>
      <c r="P219" s="343"/>
      <c r="Q219" s="343"/>
      <c r="R219" s="343"/>
      <c r="S219" s="343"/>
    </row>
    <row r="220" spans="1:19">
      <c r="A220" s="33" t="str">
        <f>"3"&amp;+$B218</f>
        <v>3養生粥</v>
      </c>
      <c r="B220" s="357"/>
      <c r="C220" s="28" t="s">
        <v>12</v>
      </c>
      <c r="D220" s="33">
        <v>1</v>
      </c>
      <c r="E220" s="29" t="s">
        <v>76</v>
      </c>
      <c r="F220" s="8">
        <v>0.2</v>
      </c>
      <c r="G220" s="354"/>
      <c r="H220" s="92" t="str">
        <f t="shared" si="149"/>
        <v>白米</v>
      </c>
      <c r="I220" s="84">
        <f>IFERROR(IF(LEN(D220)=LENB(D220),ROUND(LEFT(D220,2*LEN(D220)-LENB(D220))/$A$1,3),((ROUND(LEFT(D220,2*LEN(D220)-LENB(D220))/$A$1,3))*VLOOKUP(H220,食材表!$A:$B,2,FALSE))),"")</f>
        <v>0.02</v>
      </c>
      <c r="J220" s="92" t="str">
        <f t="shared" si="150"/>
        <v>小薏仁</v>
      </c>
      <c r="K220" s="85">
        <f>IFERROR(IF(LEN(F220)=LENB(F220),ROUND(LEFT(F220,2*LEN(F220)-LENB(F220))/$A$1,3),((ROUND(LEFT(F220,2*LEN(F220)-LENB(F220))/$A$1,3))*VLOOKUP(J220,食材表!$A:$B,2,FALSE))),"")</f>
        <v>4.0000000000000001E-3</v>
      </c>
      <c r="L220" s="344"/>
      <c r="M220" s="344"/>
      <c r="N220" s="344"/>
      <c r="O220" s="344"/>
      <c r="P220" s="344"/>
      <c r="Q220" s="344"/>
      <c r="R220" s="344"/>
      <c r="S220" s="344"/>
    </row>
    <row r="221" spans="1:19">
      <c r="A221" s="33" t="str">
        <f>"1"&amp;+$B221</f>
        <v>1清粥小菜</v>
      </c>
      <c r="B221" s="355" t="s">
        <v>54</v>
      </c>
      <c r="C221" s="55" t="s">
        <v>12</v>
      </c>
      <c r="D221" s="56">
        <v>1.2</v>
      </c>
      <c r="E221" s="58" t="s">
        <v>938</v>
      </c>
      <c r="F221" s="56" t="s">
        <v>238</v>
      </c>
      <c r="G221" s="352" t="str">
        <f t="shared" ref="G221" si="151">B221</f>
        <v>清粥小菜</v>
      </c>
      <c r="H221" s="91" t="str">
        <f>C221</f>
        <v>白米</v>
      </c>
      <c r="I221" s="83">
        <f>IFERROR(IF(LEN(D221)=LENB(D221),ROUND(LEFT(D221,2*LEN(D221)-LENB(D221))/$A$1,3),((ROUND(LEFT(D221,2*LEN(D221)-LENB(D221))/$A$1,3))*VLOOKUP(H221,食材表!$A:$B,2,FALSE))),"")</f>
        <v>2.4E-2</v>
      </c>
      <c r="J221" s="91" t="str">
        <f>E221</f>
        <v>八角</v>
      </c>
      <c r="K221" s="83" t="str">
        <f>IFERROR(IF(LEN(F221)=LENB(F221),ROUND(LEFT(F221,2*LEN(F221)-LENB(F221))/$A$1,3),((ROUND(LEFT(F221,2*LEN(F221)-LENB(F221))/$A$1,3))*VLOOKUP(J221,食材表!$A:$B,2,FALSE))),"")</f>
        <v/>
      </c>
      <c r="L221" s="342">
        <f>IFERROR($I221*VLOOKUP($H221,食材表!$A:C,3,FALSE),0)+IFERROR($I222*VLOOKUP($H222,食材表!$A:C,3,FALSE),0)+IFERROR($I223*VLOOKUP($H223,食材表!$A:C,3,FALSE),0)+IFERROR($K221*VLOOKUP($J221,食材表!$A:C,3,FALSE),0)+IFERROR($K222*VLOOKUP($J222,食材表!$A:C,3,FALSE),0)+IFERROR($K223*VLOOKUP($J223,食材表!$A:C,3,FALSE),0)</f>
        <v>1.2</v>
      </c>
      <c r="M221" s="342">
        <f>IFERROR($I221*VLOOKUP($H221,食材表!$A:D,4,FALSE),0)+IFERROR($I222*VLOOKUP($H222,食材表!$A:D,4,FALSE),0)+IFERROR($I223*VLOOKUP($H223,食材表!$A:D,4,FALSE),0)+IFERROR($K221*VLOOKUP($J221,食材表!$A:D,4,FALSE),0)+IFERROR($K222*VLOOKUP($J222,食材表!$A:D,4,FALSE),0)+IFERROR($K223*VLOOKUP($J223,食材表!$A:D,4,FALSE),0)</f>
        <v>0</v>
      </c>
      <c r="N221" s="342">
        <f>IFERROR($I221*VLOOKUP($H221,食材表!$A:E,5,FALSE),0)+IFERROR($I222*VLOOKUP($H222,食材表!$A:E,5,FALSE),0)+IFERROR($I223*VLOOKUP($H223,食材表!$A:E,5,FALSE),0)+IFERROR($K221*VLOOKUP($J221,食材表!$A:E,5,FALSE),0)+IFERROR($K222*VLOOKUP($J222,食材表!$A:E,5,FALSE),0)+IFERROR($K223*VLOOKUP($J223,食材表!$A:E,5,FALSE),0)</f>
        <v>0</v>
      </c>
      <c r="O221" s="342">
        <f>IFERROR($I221*VLOOKUP($H221,食材表!$A:F,6,FALSE),0)+IFERROR($I222*VLOOKUP($H222,食材表!$A:F,6,FALSE),0)+IFERROR($I223*VLOOKUP($H223,食材表!$A:F,6,FALSE),0)+IFERROR($K221*VLOOKUP($J221,食材表!$A:F,6,FALSE),0)+IFERROR($K222*VLOOKUP($J222,食材表!$A:F,6,FALSE),0)+IFERROR($K223*VLOOKUP($J223,食材表!$A:F,6,FALSE),0)</f>
        <v>0</v>
      </c>
      <c r="P221" s="342">
        <f>IFERROR($I221*VLOOKUP($H221,食材表!$A:G,7,FALSE),0)+IFERROR($I222*VLOOKUP($H222,食材表!$A:G,7,FALSE),0)+IFERROR($I223*VLOOKUP($H223,食材表!$A:G,7,FALSE),0)+IFERROR($K221*VLOOKUP($J221,食材表!$A:G,7,FALSE),0)+IFERROR($K222*VLOOKUP($J222,食材表!$A:G,7,FALSE),0)+IFERROR($K223*VLOOKUP($J223,食材表!$A:G,7,FALSE),0)</f>
        <v>0</v>
      </c>
      <c r="Q221" s="342">
        <f>IFERROR($I221*VLOOKUP($H221,食材表!$A:H,8,FALSE),0)+IFERROR($I222*VLOOKUP($H222,食材表!$A:H,8,FALSE),0)+IFERROR($I223*VLOOKUP($H223,食材表!$A:H,8,FALSE),0)+IFERROR($K221*VLOOKUP($J221,食材表!$A:H,8,FALSE),0)+IFERROR($K222*VLOOKUP($J222,食材表!$A:H,8,FALSE),0)+IFERROR($K223*VLOOKUP($J223,食材表!$A:H,8,FALSE),0)</f>
        <v>0</v>
      </c>
      <c r="R221" s="342">
        <f>IFERROR($I221*VLOOKUP($H221,食材表!$A:I,9,FALSE),0)+IFERROR($I222*VLOOKUP($H222,食材表!$A:I,9,FALSE),0)+IFERROR($I223*VLOOKUP($H223,食材表!$A:I,9,FALSE),0)+IFERROR($K221*VLOOKUP($J221,食材表!$A:I,9,FALSE),0)+IFERROR($K222*VLOOKUP($J222,食材表!$A:I,9,FALSE),0)+IFERROR($K223*VLOOKUP($J223,食材表!$A:I,9,FALSE),0)</f>
        <v>0</v>
      </c>
      <c r="S221" s="342">
        <f t="shared" ref="S221" si="152">SUM(L221*70+M221*75+N221*120+O221*25+P221*60+Q221*45+R221*4)</f>
        <v>84</v>
      </c>
    </row>
    <row r="222" spans="1:19">
      <c r="A222" s="33" t="str">
        <f>"2"&amp;+$B221</f>
        <v>2清粥小菜</v>
      </c>
      <c r="B222" s="356"/>
      <c r="C222" s="31" t="s">
        <v>939</v>
      </c>
      <c r="D222" s="33">
        <v>1</v>
      </c>
      <c r="E222" s="27"/>
      <c r="F222" s="33"/>
      <c r="G222" s="353"/>
      <c r="H222" s="93" t="str">
        <f>C222</f>
        <v>乾麵筋球</v>
      </c>
      <c r="I222" s="86">
        <f>IFERROR(IF(LEN(D222)=LENB(D222),ROUND(LEFT(D222,2*LEN(D222)-LENB(D222))/$A$1,3),((ROUND(LEFT(D222,2*LEN(D222)-LENB(D222))/$A$1,3))*VLOOKUP(H222,食材表!$A:$B,2,FALSE))),"")</f>
        <v>0.02</v>
      </c>
      <c r="J222" s="93">
        <f>E222</f>
        <v>0</v>
      </c>
      <c r="K222" s="86" t="str">
        <f>IFERROR(IF(LEN(F222)=LENB(F222),ROUND(LEFT(F222,2*LEN(F222)-LENB(F222))/$A$1,3),((ROUND(LEFT(F222,2*LEN(F222)-LENB(F222))/$A$1,3))*VLOOKUP(J222,食材表!$A:$B,2,FALSE))),"")</f>
        <v/>
      </c>
      <c r="L222" s="343"/>
      <c r="M222" s="343"/>
      <c r="N222" s="343"/>
      <c r="O222" s="343"/>
      <c r="P222" s="343"/>
      <c r="Q222" s="343"/>
      <c r="R222" s="343"/>
      <c r="S222" s="343"/>
    </row>
    <row r="223" spans="1:19">
      <c r="A223" s="33" t="str">
        <f>"3"&amp;+$B221</f>
        <v>3清粥小菜</v>
      </c>
      <c r="B223" s="357"/>
      <c r="C223" s="28" t="s">
        <v>95</v>
      </c>
      <c r="D223" s="33">
        <v>1.2</v>
      </c>
      <c r="E223" s="29"/>
      <c r="F223" s="8"/>
      <c r="G223" s="354"/>
      <c r="H223" s="92" t="str">
        <f>C223</f>
        <v>肉鬆</v>
      </c>
      <c r="I223" s="84">
        <f>IFERROR(IF(LEN(D223)=LENB(D223),ROUND(LEFT(D223,2*LEN(D223)-LENB(D223))/$A$1,3),((ROUND(LEFT(D223,2*LEN(D223)-LENB(D223))/$A$1,3))*VLOOKUP(H223,食材表!$A:$B,2,FALSE))),"")</f>
        <v>2.4E-2</v>
      </c>
      <c r="J223" s="92">
        <f>E223</f>
        <v>0</v>
      </c>
      <c r="K223" s="85" t="str">
        <f>IFERROR(IF(LEN(F223)=LENB(F223),ROUND(LEFT(F223,2*LEN(F223)-LENB(F223))/$A$1,3),((ROUND(LEFT(F223,2*LEN(F223)-LENB(F223))/$A$1,3))*VLOOKUP(J223,食材表!$A:$B,2,FALSE))),"")</f>
        <v/>
      </c>
      <c r="L223" s="344"/>
      <c r="M223" s="344"/>
      <c r="N223" s="344"/>
      <c r="O223" s="344"/>
      <c r="P223" s="344"/>
      <c r="Q223" s="344"/>
      <c r="R223" s="344"/>
      <c r="S223" s="344"/>
    </row>
    <row r="224" spans="1:19">
      <c r="A224" s="33" t="str">
        <f>"1"&amp;+$B224</f>
        <v>1香菇肉粥</v>
      </c>
      <c r="B224" s="368" t="s">
        <v>1144</v>
      </c>
      <c r="C224" s="60" t="s">
        <v>236</v>
      </c>
      <c r="D224" s="59">
        <v>0.8</v>
      </c>
      <c r="E224" s="75" t="s">
        <v>354</v>
      </c>
      <c r="F224" s="59">
        <v>0.6</v>
      </c>
      <c r="G224" s="352" t="str">
        <f>B224</f>
        <v>香菇肉粥</v>
      </c>
      <c r="H224" s="91" t="str">
        <f>C224</f>
        <v>生香菇</v>
      </c>
      <c r="I224" s="83">
        <f>IFERROR(IF(LEN(D224)=LENB(D224),ROUND(LEFT(D224,2*LEN(D224)-LENB(D224))/$A$1,3),((ROUND(LEFT(D224,2*LEN(D224)-LENB(D224))/$A$1,3))*VLOOKUP(H224,食材表!$A:$B,2,FALSE))),"")</f>
        <v>1.6E-2</v>
      </c>
      <c r="J224" s="91" t="str">
        <f>E224</f>
        <v>豬絞肉</v>
      </c>
      <c r="K224" s="83">
        <f>IFERROR(IF(LEN(F224)=LENB(F224),ROUND(LEFT(F224,2*LEN(F224)-LENB(F224))/$A$1,3),((ROUND(LEFT(F224,2*LEN(F224)-LENB(F224))/$A$1,3))*VLOOKUP(J224,食材表!$A:$B,2,FALSE))),"")</f>
        <v>1.2E-2</v>
      </c>
      <c r="L224" s="342">
        <f>IFERROR($I224*VLOOKUP($H224,食材表!$A:C,3,FALSE),0)+IFERROR($I225*VLOOKUP($H225,食材表!$A:C,3,FALSE),0)+IFERROR($I226*VLOOKUP($H226,食材表!$A:C,3,FALSE),0)+IFERROR($K224*VLOOKUP($J224,食材表!$A:C,3,FALSE),0)+IFERROR($K225*VLOOKUP($J225,食材表!$A:C,3,FALSE),0)+IFERROR($K226*VLOOKUP($J226,食材表!$A:C,3,FALSE),0)</f>
        <v>1.2</v>
      </c>
      <c r="M224" s="342">
        <f>IFERROR($I224*VLOOKUP($H224,食材表!$A:D,4,FALSE),0)+IFERROR($I225*VLOOKUP($H225,食材表!$A:D,4,FALSE),0)+IFERROR($I226*VLOOKUP($H226,食材表!$A:D,4,FALSE),0)+IFERROR($K224*VLOOKUP($J224,食材表!$A:D,4,FALSE),0)+IFERROR($K225*VLOOKUP($J225,食材表!$A:D,4,FALSE),0)+IFERROR($K226*VLOOKUP($J226,食材表!$A:D,4,FALSE),0)</f>
        <v>0.34285714285714286</v>
      </c>
      <c r="N224" s="342">
        <f>IFERROR($I224*VLOOKUP($H224,食材表!$A:E,5,FALSE),0)+IFERROR($I225*VLOOKUP($H225,食材表!$A:E,5,FALSE),0)+IFERROR($I226*VLOOKUP($H226,食材表!$A:E,5,FALSE),0)+IFERROR($K224*VLOOKUP($J224,食材表!$A:E,5,FALSE),0)+IFERROR($K225*VLOOKUP($J225,食材表!$A:E,5,FALSE),0)+IFERROR($K226*VLOOKUP($J226,食材表!$A:E,5,FALSE),0)</f>
        <v>0</v>
      </c>
      <c r="O224" s="342">
        <f>IFERROR($I224*VLOOKUP($H224,食材表!$A:F,6,FALSE),0)+IFERROR($I225*VLOOKUP($H225,食材表!$A:F,6,FALSE),0)+IFERROR($I226*VLOOKUP($H226,食材表!$A:F,6,FALSE),0)+IFERROR($K224*VLOOKUP($J224,食材表!$A:F,6,FALSE),0)+IFERROR($K225*VLOOKUP($J225,食材表!$A:F,6,FALSE),0)+IFERROR($K226*VLOOKUP($J226,食材表!$A:F,6,FALSE),0)</f>
        <v>0.2</v>
      </c>
      <c r="P224" s="342">
        <f>IFERROR($I224*VLOOKUP($H224,食材表!$A:G,7,FALSE),0)+IFERROR($I225*VLOOKUP($H225,食材表!$A:G,7,FALSE),0)+IFERROR($I226*VLOOKUP($H226,食材表!$A:G,7,FALSE),0)+IFERROR($K224*VLOOKUP($J224,食材表!$A:G,7,FALSE),0)+IFERROR($K225*VLOOKUP($J225,食材表!$A:G,7,FALSE),0)+IFERROR($K226*VLOOKUP($J226,食材表!$A:G,7,FALSE),0)</f>
        <v>0</v>
      </c>
      <c r="Q224" s="342">
        <f>IFERROR($I224*VLOOKUP($H224,食材表!$A:H,8,FALSE),0)+IFERROR($I225*VLOOKUP($H225,食材表!$A:H,8,FALSE),0)+IFERROR($I226*VLOOKUP($H226,食材表!$A:H,8,FALSE),0)+IFERROR($K224*VLOOKUP($J224,食材表!$A:H,8,FALSE),0)+IFERROR($K225*VLOOKUP($J225,食材表!$A:H,8,FALSE),0)+IFERROR($K226*VLOOKUP($J226,食材表!$A:H,8,FALSE),0)</f>
        <v>0</v>
      </c>
      <c r="R224" s="342">
        <f>IFERROR($I224*VLOOKUP($H224,食材表!$A:I,9,FALSE),0)+IFERROR($I225*VLOOKUP($H225,食材表!$A:I,9,FALSE),0)+IFERROR($I226*VLOOKUP($H226,食材表!$A:I,9,FALSE),0)+IFERROR($K224*VLOOKUP($J224,食材表!$A:I,9,FALSE),0)+IFERROR($K225*VLOOKUP($J225,食材表!$A:I,9,FALSE),0)+IFERROR($K226*VLOOKUP($J226,食材表!$A:I,9,FALSE),0)</f>
        <v>0</v>
      </c>
      <c r="S224" s="342">
        <f>SUM(L224*70+M224*75+N224*120+O224*25+P224*60+Q224*45+R224*4)</f>
        <v>114.71428571428572</v>
      </c>
    </row>
    <row r="225" spans="1:19">
      <c r="A225" s="33" t="str">
        <f>"2"&amp;+$B224</f>
        <v>2香菇肉粥</v>
      </c>
      <c r="B225" s="369"/>
      <c r="C225" s="22" t="s">
        <v>279</v>
      </c>
      <c r="D225" s="36">
        <v>1</v>
      </c>
      <c r="E225" s="23" t="s">
        <v>214</v>
      </c>
      <c r="F225" s="36">
        <v>1.2</v>
      </c>
      <c r="G225" s="353"/>
      <c r="H225" s="93" t="str">
        <f t="shared" ref="H225:H226" si="153">C225</f>
        <v>大白菜</v>
      </c>
      <c r="I225" s="86">
        <f>IFERROR(IF(LEN(D225)=LENB(D225),ROUND(LEFT(D225,2*LEN(D225)-LENB(D225))/$A$1,3),((ROUND(LEFT(D225,2*LEN(D225)-LENB(D225))/$A$1,3))*VLOOKUP(H225,食材表!$A:$B,2,FALSE))),"")</f>
        <v>0.02</v>
      </c>
      <c r="J225" s="93" t="str">
        <f t="shared" ref="J225:J226" si="154">E225</f>
        <v>白米</v>
      </c>
      <c r="K225" s="86">
        <f>IFERROR(IF(LEN(F225)=LENB(F225),ROUND(LEFT(F225,2*LEN(F225)-LENB(F225))/$A$1,3),((ROUND(LEFT(F225,2*LEN(F225)-LENB(F225))/$A$1,3))*VLOOKUP(J225,食材表!$A:$B,2,FALSE))),"")</f>
        <v>2.4E-2</v>
      </c>
      <c r="L225" s="343"/>
      <c r="M225" s="343"/>
      <c r="N225" s="343"/>
      <c r="O225" s="343"/>
      <c r="P225" s="343"/>
      <c r="Q225" s="343"/>
      <c r="R225" s="343"/>
      <c r="S225" s="343"/>
    </row>
    <row r="226" spans="1:19">
      <c r="A226" s="33" t="str">
        <f>"3"&amp;+$B224</f>
        <v>3香菇肉粥</v>
      </c>
      <c r="B226" s="370"/>
      <c r="C226" s="26" t="s">
        <v>215</v>
      </c>
      <c r="D226" s="37">
        <v>0.2</v>
      </c>
      <c r="E226" s="25"/>
      <c r="F226" s="37"/>
      <c r="G226" s="354"/>
      <c r="H226" s="92" t="str">
        <f t="shared" si="153"/>
        <v>紅蘿蔔</v>
      </c>
      <c r="I226" s="84">
        <f>IFERROR(IF(LEN(D226)=LENB(D226),ROUND(LEFT(D226,2*LEN(D226)-LENB(D226))/$A$1,3),((ROUND(LEFT(D226,2*LEN(D226)-LENB(D226))/$A$1,3))*VLOOKUP(H226,食材表!$A:$B,2,FALSE))),"")</f>
        <v>4.0000000000000001E-3</v>
      </c>
      <c r="J226" s="92">
        <f t="shared" si="154"/>
        <v>0</v>
      </c>
      <c r="K226" s="85" t="str">
        <f>IFERROR(IF(LEN(F226)=LENB(F226),ROUND(LEFT(F226,2*LEN(F226)-LENB(F226))/$A$1,3),((ROUND(LEFT(F226,2*LEN(F226)-LENB(F226))/$A$1,3))*VLOOKUP(J226,食材表!$A:$B,2,FALSE))),"")</f>
        <v/>
      </c>
      <c r="L226" s="344"/>
      <c r="M226" s="344"/>
      <c r="N226" s="344"/>
      <c r="O226" s="344"/>
      <c r="P226" s="344"/>
      <c r="Q226" s="344"/>
      <c r="R226" s="344"/>
      <c r="S226" s="344"/>
    </row>
    <row r="227" spans="1:19">
      <c r="A227" s="33" t="str">
        <f>"1"&amp;+$B227</f>
        <v>1香菇魚片粥</v>
      </c>
      <c r="B227" s="368" t="s">
        <v>277</v>
      </c>
      <c r="C227" s="60" t="s">
        <v>236</v>
      </c>
      <c r="D227" s="59">
        <v>0.8</v>
      </c>
      <c r="E227" s="75" t="s">
        <v>278</v>
      </c>
      <c r="F227" s="59">
        <v>0.6</v>
      </c>
      <c r="G227" s="352" t="str">
        <f>B227</f>
        <v>香菇魚片粥</v>
      </c>
      <c r="H227" s="91" t="str">
        <f>C227</f>
        <v>生香菇</v>
      </c>
      <c r="I227" s="83">
        <f>IFERROR(IF(LEN(D227)=LENB(D227),ROUND(LEFT(D227,2*LEN(D227)-LENB(D227))/$A$1,3),((ROUND(LEFT(D227,2*LEN(D227)-LENB(D227))/$A$1,3))*VLOOKUP(H227,食材表!$A:$B,2,FALSE))),"")</f>
        <v>1.6E-2</v>
      </c>
      <c r="J227" s="91" t="str">
        <f>E227</f>
        <v>魚片</v>
      </c>
      <c r="K227" s="83">
        <f>IFERROR(IF(LEN(F227)=LENB(F227),ROUND(LEFT(F227,2*LEN(F227)-LENB(F227))/$A$1,3),((ROUND(LEFT(F227,2*LEN(F227)-LENB(F227))/$A$1,3))*VLOOKUP(J227,食材表!$A:$B,2,FALSE))),"")</f>
        <v>1.2E-2</v>
      </c>
      <c r="L227" s="342">
        <f>IFERROR($I227*VLOOKUP($H227,食材表!$A:C,3,FALSE),0)+IFERROR($I228*VLOOKUP($H228,食材表!$A:C,3,FALSE),0)+IFERROR($I229*VLOOKUP($H229,食材表!$A:C,3,FALSE),0)+IFERROR($K227*VLOOKUP($J227,食材表!$A:C,3,FALSE),0)+IFERROR($K228*VLOOKUP($J228,食材表!$A:C,3,FALSE),0)+IFERROR($K229*VLOOKUP($J229,食材表!$A:C,3,FALSE),0)</f>
        <v>1.2</v>
      </c>
      <c r="M227" s="342">
        <f>IFERROR($I227*VLOOKUP($H227,食材表!$A:D,4,FALSE),0)+IFERROR($I228*VLOOKUP($H228,食材表!$A:D,4,FALSE),0)+IFERROR($I229*VLOOKUP($H229,食材表!$A:D,4,FALSE),0)+IFERROR($K227*VLOOKUP($J227,食材表!$A:D,4,FALSE),0)+IFERROR($K228*VLOOKUP($J228,食材表!$A:D,4,FALSE),0)+IFERROR($K229*VLOOKUP($J229,食材表!$A:D,4,FALSE),0)</f>
        <v>0.34285714285714286</v>
      </c>
      <c r="N227" s="342">
        <f>IFERROR($I227*VLOOKUP($H227,食材表!$A:E,5,FALSE),0)+IFERROR($I228*VLOOKUP($H228,食材表!$A:E,5,FALSE),0)+IFERROR($I229*VLOOKUP($H229,食材表!$A:E,5,FALSE),0)+IFERROR($K227*VLOOKUP($J227,食材表!$A:E,5,FALSE),0)+IFERROR($K228*VLOOKUP($J228,食材表!$A:E,5,FALSE),0)+IFERROR($K229*VLOOKUP($J229,食材表!$A:E,5,FALSE),0)</f>
        <v>0</v>
      </c>
      <c r="O227" s="342">
        <f>IFERROR($I227*VLOOKUP($H227,食材表!$A:F,6,FALSE),0)+IFERROR($I228*VLOOKUP($H228,食材表!$A:F,6,FALSE),0)+IFERROR($I229*VLOOKUP($H229,食材表!$A:F,6,FALSE),0)+IFERROR($K227*VLOOKUP($J227,食材表!$A:F,6,FALSE),0)+IFERROR($K228*VLOOKUP($J228,食材表!$A:F,6,FALSE),0)+IFERROR($K229*VLOOKUP($J229,食材表!$A:F,6,FALSE),0)</f>
        <v>0.2</v>
      </c>
      <c r="P227" s="342">
        <f>IFERROR($I227*VLOOKUP($H227,食材表!$A:G,7,FALSE),0)+IFERROR($I228*VLOOKUP($H228,食材表!$A:G,7,FALSE),0)+IFERROR($I229*VLOOKUP($H229,食材表!$A:G,7,FALSE),0)+IFERROR($K227*VLOOKUP($J227,食材表!$A:G,7,FALSE),0)+IFERROR($K228*VLOOKUP($J228,食材表!$A:G,7,FALSE),0)+IFERROR($K229*VLOOKUP($J229,食材表!$A:G,7,FALSE),0)</f>
        <v>0</v>
      </c>
      <c r="Q227" s="342">
        <f>IFERROR($I227*VLOOKUP($H227,食材表!$A:H,8,FALSE),0)+IFERROR($I228*VLOOKUP($H228,食材表!$A:H,8,FALSE),0)+IFERROR($I229*VLOOKUP($H229,食材表!$A:H,8,FALSE),0)+IFERROR($K227*VLOOKUP($J227,食材表!$A:H,8,FALSE),0)+IFERROR($K228*VLOOKUP($J228,食材表!$A:H,8,FALSE),0)+IFERROR($K229*VLOOKUP($J229,食材表!$A:H,8,FALSE),0)</f>
        <v>0</v>
      </c>
      <c r="R227" s="342">
        <f>IFERROR($I227*VLOOKUP($H227,食材表!$A:I,9,FALSE),0)+IFERROR($I228*VLOOKUP($H228,食材表!$A:I,9,FALSE),0)+IFERROR($I229*VLOOKUP($H229,食材表!$A:I,9,FALSE),0)+IFERROR($K227*VLOOKUP($J227,食材表!$A:I,9,FALSE),0)+IFERROR($K228*VLOOKUP($J228,食材表!$A:I,9,FALSE),0)+IFERROR($K229*VLOOKUP($J229,食材表!$A:I,9,FALSE),0)</f>
        <v>0</v>
      </c>
      <c r="S227" s="342">
        <f>SUM(L227*70+M227*75+N227*120+O227*25+P227*60+Q227*45+R227*4)</f>
        <v>114.71428571428572</v>
      </c>
    </row>
    <row r="228" spans="1:19">
      <c r="A228" s="33" t="str">
        <f>"2"&amp;+$B227</f>
        <v>2香菇魚片粥</v>
      </c>
      <c r="B228" s="369"/>
      <c r="C228" s="22" t="s">
        <v>279</v>
      </c>
      <c r="D228" s="36">
        <v>1</v>
      </c>
      <c r="E228" s="23" t="s">
        <v>214</v>
      </c>
      <c r="F228" s="36">
        <v>1.2</v>
      </c>
      <c r="G228" s="353"/>
      <c r="H228" s="93" t="str">
        <f t="shared" ref="H228:H229" si="155">C228</f>
        <v>大白菜</v>
      </c>
      <c r="I228" s="86">
        <f>IFERROR(IF(LEN(D228)=LENB(D228),ROUND(LEFT(D228,2*LEN(D228)-LENB(D228))/$A$1,3),((ROUND(LEFT(D228,2*LEN(D228)-LENB(D228))/$A$1,3))*VLOOKUP(H228,食材表!$A:$B,2,FALSE))),"")</f>
        <v>0.02</v>
      </c>
      <c r="J228" s="93" t="str">
        <f t="shared" ref="J228:J229" si="156">E228</f>
        <v>白米</v>
      </c>
      <c r="K228" s="86">
        <f>IFERROR(IF(LEN(F228)=LENB(F228),ROUND(LEFT(F228,2*LEN(F228)-LENB(F228))/$A$1,3),((ROUND(LEFT(F228,2*LEN(F228)-LENB(F228))/$A$1,3))*VLOOKUP(J228,食材表!$A:$B,2,FALSE))),"")</f>
        <v>2.4E-2</v>
      </c>
      <c r="L228" s="343"/>
      <c r="M228" s="343"/>
      <c r="N228" s="343"/>
      <c r="O228" s="343"/>
      <c r="P228" s="343"/>
      <c r="Q228" s="343"/>
      <c r="R228" s="343"/>
      <c r="S228" s="343"/>
    </row>
    <row r="229" spans="1:19">
      <c r="A229" s="33" t="str">
        <f>"3"&amp;+$B227</f>
        <v>3香菇魚片粥</v>
      </c>
      <c r="B229" s="370"/>
      <c r="C229" s="26" t="s">
        <v>215</v>
      </c>
      <c r="D229" s="37">
        <v>0.2</v>
      </c>
      <c r="E229" s="25"/>
      <c r="F229" s="37"/>
      <c r="G229" s="354"/>
      <c r="H229" s="92" t="str">
        <f t="shared" si="155"/>
        <v>紅蘿蔔</v>
      </c>
      <c r="I229" s="84">
        <f>IFERROR(IF(LEN(D229)=LENB(D229),ROUND(LEFT(D229,2*LEN(D229)-LENB(D229))/$A$1,3),((ROUND(LEFT(D229,2*LEN(D229)-LENB(D229))/$A$1,3))*VLOOKUP(H229,食材表!$A:$B,2,FALSE))),"")</f>
        <v>4.0000000000000001E-3</v>
      </c>
      <c r="J229" s="92">
        <f t="shared" si="156"/>
        <v>0</v>
      </c>
      <c r="K229" s="85" t="str">
        <f>IFERROR(IF(LEN(F229)=LENB(F229),ROUND(LEFT(F229,2*LEN(F229)-LENB(F229))/$A$1,3),((ROUND(LEFT(F229,2*LEN(F229)-LENB(F229))/$A$1,3))*VLOOKUP(J229,食材表!$A:$B,2,FALSE))),"")</f>
        <v/>
      </c>
      <c r="L229" s="344"/>
      <c r="M229" s="344"/>
      <c r="N229" s="344"/>
      <c r="O229" s="344"/>
      <c r="P229" s="344"/>
      <c r="Q229" s="344"/>
      <c r="R229" s="344"/>
      <c r="S229" s="344"/>
    </row>
    <row r="230" spans="1:19">
      <c r="A230" s="33" t="str">
        <f>"1"&amp;+$B230</f>
        <v>1薑絲魚片粥</v>
      </c>
      <c r="B230" s="355" t="s">
        <v>421</v>
      </c>
      <c r="C230" s="55" t="s">
        <v>276</v>
      </c>
      <c r="D230" s="56">
        <v>0.1</v>
      </c>
      <c r="E230" s="58" t="s">
        <v>12</v>
      </c>
      <c r="F230" s="56">
        <v>1.2</v>
      </c>
      <c r="G230" s="352" t="str">
        <f t="shared" ref="G230" si="157">B230</f>
        <v>薑絲魚片粥</v>
      </c>
      <c r="H230" s="91" t="str">
        <f>C230</f>
        <v>嫩薑絲</v>
      </c>
      <c r="I230" s="83">
        <f>IFERROR(IF(LEN(D230)=LENB(D230),ROUND(LEFT(D230,2*LEN(D230)-LENB(D230))/$A$1,3),((ROUND(LEFT(D230,2*LEN(D230)-LENB(D230))/$A$1,3))*VLOOKUP(H230,食材表!$A:$B,2,FALSE))),"")</f>
        <v>2E-3</v>
      </c>
      <c r="J230" s="91" t="str">
        <f>E230</f>
        <v>白米</v>
      </c>
      <c r="K230" s="83">
        <f>IFERROR(IF(LEN(F230)=LENB(F230),ROUND(LEFT(F230,2*LEN(F230)-LENB(F230))/$A$1,3),((ROUND(LEFT(F230,2*LEN(F230)-LENB(F230))/$A$1,3))*VLOOKUP(J230,食材表!$A:$B,2,FALSE))),"")</f>
        <v>2.4E-2</v>
      </c>
      <c r="L230" s="342">
        <f>IFERROR($I230*VLOOKUP($H230,食材表!$A:C,3,FALSE),0)+IFERROR($I231*VLOOKUP($H231,食材表!$A:C,3,FALSE),0)+IFERROR($I232*VLOOKUP($H232,食材表!$A:C,3,FALSE),0)+IFERROR($K230*VLOOKUP($J230,食材表!$A:C,3,FALSE),0)+IFERROR($K231*VLOOKUP($J231,食材表!$A:C,3,FALSE),0)+IFERROR($K232*VLOOKUP($J232,食材表!$A:C,3,FALSE),0)</f>
        <v>1.2</v>
      </c>
      <c r="M230" s="342">
        <f>IFERROR($I230*VLOOKUP($H230,食材表!$A:D,4,FALSE),0)+IFERROR($I231*VLOOKUP($H231,食材表!$A:D,4,FALSE),0)+IFERROR($I232*VLOOKUP($H232,食材表!$A:D,4,FALSE),0)+IFERROR($K230*VLOOKUP($J230,食材表!$A:D,4,FALSE),0)+IFERROR($K231*VLOOKUP($J231,食材表!$A:D,4,FALSE),0)+IFERROR($K232*VLOOKUP($J232,食材表!$A:D,4,FALSE),0)</f>
        <v>0.57142857142857151</v>
      </c>
      <c r="N230" s="342">
        <f>IFERROR($I230*VLOOKUP($H230,食材表!$A:E,5,FALSE),0)+IFERROR($I231*VLOOKUP($H231,食材表!$A:E,5,FALSE),0)+IFERROR($I232*VLOOKUP($H232,食材表!$A:E,5,FALSE),0)+IFERROR($K230*VLOOKUP($J230,食材表!$A:E,5,FALSE),0)+IFERROR($K231*VLOOKUP($J231,食材表!$A:E,5,FALSE),0)+IFERROR($K232*VLOOKUP($J232,食材表!$A:E,5,FALSE),0)</f>
        <v>0</v>
      </c>
      <c r="O230" s="342">
        <f>IFERROR($I230*VLOOKUP($H230,食材表!$A:F,6,FALSE),0)+IFERROR($I231*VLOOKUP($H231,食材表!$A:F,6,FALSE),0)+IFERROR($I232*VLOOKUP($H232,食材表!$A:F,6,FALSE),0)+IFERROR($K230*VLOOKUP($J230,食材表!$A:F,6,FALSE),0)+IFERROR($K231*VLOOKUP($J231,食材表!$A:F,6,FALSE),0)+IFERROR($K232*VLOOKUP($J232,食材表!$A:F,6,FALSE),0)</f>
        <v>0.18</v>
      </c>
      <c r="P230" s="342">
        <f>IFERROR($I230*VLOOKUP($H230,食材表!$A:G,7,FALSE),0)+IFERROR($I231*VLOOKUP($H231,食材表!$A:G,7,FALSE),0)+IFERROR($I232*VLOOKUP($H232,食材表!$A:G,7,FALSE),0)+IFERROR($K230*VLOOKUP($J230,食材表!$A:G,7,FALSE),0)+IFERROR($K231*VLOOKUP($J231,食材表!$A:G,7,FALSE),0)+IFERROR($K232*VLOOKUP($J232,食材表!$A:G,7,FALSE),0)</f>
        <v>0</v>
      </c>
      <c r="Q230" s="342">
        <f>IFERROR($I230*VLOOKUP($H230,食材表!$A:H,8,FALSE),0)+IFERROR($I231*VLOOKUP($H231,食材表!$A:H,8,FALSE),0)+IFERROR($I232*VLOOKUP($H232,食材表!$A:H,8,FALSE),0)+IFERROR($K230*VLOOKUP($J230,食材表!$A:H,8,FALSE),0)+IFERROR($K231*VLOOKUP($J231,食材表!$A:H,8,FALSE),0)+IFERROR($K232*VLOOKUP($J232,食材表!$A:H,8,FALSE),0)</f>
        <v>0</v>
      </c>
      <c r="R230" s="342">
        <f>IFERROR($I230*VLOOKUP($H230,食材表!$A:I,9,FALSE),0)+IFERROR($I231*VLOOKUP($H231,食材表!$A:I,9,FALSE),0)+IFERROR($I232*VLOOKUP($H232,食材表!$A:I,9,FALSE),0)+IFERROR($K230*VLOOKUP($J230,食材表!$A:I,9,FALSE),0)+IFERROR($K231*VLOOKUP($J231,食材表!$A:I,9,FALSE),0)+IFERROR($K232*VLOOKUP($J232,食材表!$A:I,9,FALSE),0)</f>
        <v>0</v>
      </c>
      <c r="S230" s="342">
        <f t="shared" ref="S230" si="158">SUM(L230*70+M230*75+N230*120+O230*25+P230*60+Q230*45+R230*4)</f>
        <v>131.35714285714286</v>
      </c>
    </row>
    <row r="231" spans="1:19">
      <c r="A231" s="33" t="str">
        <f>"2"&amp;+$B230</f>
        <v>2薑絲魚片粥</v>
      </c>
      <c r="B231" s="356"/>
      <c r="C231" s="31" t="s">
        <v>394</v>
      </c>
      <c r="D231" s="33">
        <v>1</v>
      </c>
      <c r="E231" s="27" t="s">
        <v>46</v>
      </c>
      <c r="F231" s="33">
        <v>0.8</v>
      </c>
      <c r="G231" s="353"/>
      <c r="H231" s="93" t="str">
        <f>C231</f>
        <v>魚片</v>
      </c>
      <c r="I231" s="86">
        <f>IFERROR(IF(LEN(D231)=LENB(D231),ROUND(LEFT(D231,2*LEN(D231)-LENB(D231))/$A$1,3),((ROUND(LEFT(D231,2*LEN(D231)-LENB(D231))/$A$1,3))*VLOOKUP(H231,食材表!$A:$B,2,FALSE))),"")</f>
        <v>0.02</v>
      </c>
      <c r="J231" s="93" t="str">
        <f>E231</f>
        <v>高麗菜</v>
      </c>
      <c r="K231" s="86">
        <f>IFERROR(IF(LEN(F231)=LENB(F231),ROUND(LEFT(F231,2*LEN(F231)-LENB(F231))/$A$1,3),((ROUND(LEFT(F231,2*LEN(F231)-LENB(F231))/$A$1,3))*VLOOKUP(J231,食材表!$A:$B,2,FALSE))),"")</f>
        <v>1.6E-2</v>
      </c>
      <c r="L231" s="343"/>
      <c r="M231" s="343"/>
      <c r="N231" s="343"/>
      <c r="O231" s="343"/>
      <c r="P231" s="343"/>
      <c r="Q231" s="343"/>
      <c r="R231" s="343"/>
      <c r="S231" s="343"/>
    </row>
    <row r="232" spans="1:19">
      <c r="A232" s="33" t="str">
        <f>"3"&amp;+$B230</f>
        <v>3薑絲魚片粥</v>
      </c>
      <c r="B232" s="357"/>
      <c r="C232" s="28" t="s">
        <v>422</v>
      </c>
      <c r="D232" s="33">
        <v>0.1</v>
      </c>
      <c r="E232" s="29"/>
      <c r="F232" s="8"/>
      <c r="G232" s="354"/>
      <c r="H232" s="92" t="str">
        <f>C232</f>
        <v>青蔥</v>
      </c>
      <c r="I232" s="84">
        <f>IFERROR(IF(LEN(D232)=LENB(D232),ROUND(LEFT(D232,2*LEN(D232)-LENB(D232))/$A$1,3),((ROUND(LEFT(D232,2*LEN(D232)-LENB(D232))/$A$1,3))*VLOOKUP(H232,食材表!$A:$B,2,FALSE))),"")</f>
        <v>2E-3</v>
      </c>
      <c r="J232" s="92">
        <f>E232</f>
        <v>0</v>
      </c>
      <c r="K232" s="85" t="str">
        <f>IFERROR(IF(LEN(F232)=LENB(F232),ROUND(LEFT(F232,2*LEN(F232)-LENB(F232))/$A$1,3),((ROUND(LEFT(F232,2*LEN(F232)-LENB(F232))/$A$1,3))*VLOOKUP(J232,食材表!$A:$B,2,FALSE))),"")</f>
        <v/>
      </c>
      <c r="L232" s="344"/>
      <c r="M232" s="344"/>
      <c r="N232" s="344"/>
      <c r="O232" s="344"/>
      <c r="P232" s="344"/>
      <c r="Q232" s="344"/>
      <c r="R232" s="344"/>
      <c r="S232" s="344"/>
    </row>
    <row r="233" spans="1:19">
      <c r="A233" s="33" t="str">
        <f>"1"&amp;+$B233</f>
        <v>1豆薯蛋花湯</v>
      </c>
      <c r="B233" s="349" t="s">
        <v>928</v>
      </c>
      <c r="C233" s="57" t="s">
        <v>48</v>
      </c>
      <c r="D233" s="71">
        <v>1</v>
      </c>
      <c r="E233" s="60"/>
      <c r="F233" s="36"/>
      <c r="G233" s="365" t="str">
        <f>B233</f>
        <v>豆薯蛋花湯</v>
      </c>
      <c r="H233" s="91" t="str">
        <f>C233</f>
        <v>雞蛋</v>
      </c>
      <c r="I233" s="83">
        <f>IFERROR(IF(LEN(D233)=LENB(D233),ROUND(LEFT(D233,2*LEN(D233)-LENB(D233))/$A$1,3),((ROUND(LEFT(D233,2*LEN(D233)-LENB(D233))/$A$1,3))*VLOOKUP(H233,食材表!$A:$B,2,FALSE))),"")</f>
        <v>0.02</v>
      </c>
      <c r="J233" s="91">
        <f>E233</f>
        <v>0</v>
      </c>
      <c r="K233" s="83" t="str">
        <f>IFERROR(IF(LEN(F233)=LENB(F233),ROUND(LEFT(F233,2*LEN(F233)-LENB(F233))/$A$1,3),((ROUND(LEFT(F233,2*LEN(F233)-LENB(F233))/$A$1,3))*VLOOKUP(J233,食材表!$A:$B,2,FALSE))),"")</f>
        <v/>
      </c>
      <c r="L233" s="345">
        <f>IFERROR($I233*VLOOKUP($H233,食材表!$A:C,3,FALSE),0)+IFERROR($I234*VLOOKUP($H234,食材表!$A:C,3,FALSE),0)+IFERROR($I235*VLOOKUP($H235,食材表!$A:C,3,FALSE),0)+IFERROR($K233*VLOOKUP($J233,食材表!$A:C,3,FALSE),0)+IFERROR($K234*VLOOKUP($J234,食材表!$A:C,3,FALSE),0)+IFERROR($K235*VLOOKUP($J235,食材表!$A:C,3,FALSE),0)</f>
        <v>0</v>
      </c>
      <c r="M233" s="345">
        <f>IFERROR($I233*VLOOKUP($H233,食材表!$A:D,4,FALSE),0)+IFERROR($I234*VLOOKUP($H234,食材表!$A:D,4,FALSE),0)+IFERROR($I235*VLOOKUP($H235,食材表!$A:D,4,FALSE),0)+IFERROR($K233*VLOOKUP($J233,食材表!$A:D,4,FALSE),0)+IFERROR($K234*VLOOKUP($J234,食材表!$A:D,4,FALSE),0)+IFERROR($K235*VLOOKUP($J235,食材表!$A:D,4,FALSE),0)</f>
        <v>0.30769230769230771</v>
      </c>
      <c r="N233" s="345">
        <f>IFERROR($I233*VLOOKUP($H233,食材表!$A:E,5,FALSE),0)+IFERROR($I234*VLOOKUP($H234,食材表!$A:E,5,FALSE),0)+IFERROR($I235*VLOOKUP($H235,食材表!$A:E,5,FALSE),0)+IFERROR($K233*VLOOKUP($J233,食材表!$A:E,5,FALSE),0)+IFERROR($K234*VLOOKUP($J234,食材表!$A:E,5,FALSE),0)+IFERROR($K235*VLOOKUP($J235,食材表!$A:E,5,FALSE),0)</f>
        <v>0</v>
      </c>
      <c r="O233" s="345">
        <f>IFERROR($I233*VLOOKUP($H233,食材表!$A:F,6,FALSE),0)+IFERROR($I234*VLOOKUP($H234,食材表!$A:F,6,FALSE),0)+IFERROR($I235*VLOOKUP($H235,食材表!$A:F,6,FALSE),0)+IFERROR($K233*VLOOKUP($J233,食材表!$A:F,6,FALSE),0)+IFERROR($K234*VLOOKUP($J234,食材表!$A:F,6,FALSE),0)+IFERROR($K235*VLOOKUP($J235,食材表!$A:F,6,FALSE),0)</f>
        <v>0</v>
      </c>
      <c r="P233" s="345">
        <f>IFERROR($I233*VLOOKUP($H233,食材表!$A:G,7,FALSE),0)+IFERROR($I234*VLOOKUP($H234,食材表!$A:G,7,FALSE),0)+IFERROR($I235*VLOOKUP($H235,食材表!$A:G,7,FALSE),0)+IFERROR($K233*VLOOKUP($J233,食材表!$A:G,7,FALSE),0)+IFERROR($K234*VLOOKUP($J234,食材表!$A:G,7,FALSE),0)+IFERROR($K235*VLOOKUP($J235,食材表!$A:G,7,FALSE),0)</f>
        <v>0</v>
      </c>
      <c r="Q233" s="345">
        <f>IFERROR($I233*VLOOKUP($H233,食材表!$A:H,8,FALSE),0)+IFERROR($I234*VLOOKUP($H234,食材表!$A:H,8,FALSE),0)+IFERROR($I235*VLOOKUP($H235,食材表!$A:H,8,FALSE),0)+IFERROR($K233*VLOOKUP($J233,食材表!$A:H,8,FALSE),0)+IFERROR($K234*VLOOKUP($J234,食材表!$A:H,8,FALSE),0)+IFERROR($K235*VLOOKUP($J235,食材表!$A:H,8,FALSE),0)</f>
        <v>0</v>
      </c>
      <c r="R233" s="345">
        <f>IFERROR($I233*VLOOKUP($H233,食材表!$A:I,9,FALSE),0)+IFERROR($I234*VLOOKUP($H234,食材表!$A:I,9,FALSE),0)+IFERROR($I235*VLOOKUP($H235,食材表!$A:I,9,FALSE),0)+IFERROR($K233*VLOOKUP($J233,食材表!$A:I,9,FALSE),0)+IFERROR($K234*VLOOKUP($J234,食材表!$A:I,9,FALSE),0)+IFERROR($K235*VLOOKUP($J235,食材表!$A:I,9,FALSE),0)</f>
        <v>0</v>
      </c>
      <c r="S233" s="345">
        <f>SUM(L233*70+M233*75+N233*120+O233*25+P233*60+Q233*45+R233*4)</f>
        <v>23.076923076923077</v>
      </c>
    </row>
    <row r="234" spans="1:19">
      <c r="A234" s="33" t="str">
        <f>"2"&amp;+$B233</f>
        <v>2豆薯蛋花湯</v>
      </c>
      <c r="B234" s="350"/>
      <c r="C234" s="32" t="s">
        <v>929</v>
      </c>
      <c r="D234" s="48">
        <v>2</v>
      </c>
      <c r="E234" s="22"/>
      <c r="F234" s="36"/>
      <c r="G234" s="366"/>
      <c r="H234" s="93" t="str">
        <f t="shared" ref="H234:H235" si="159">C234</f>
        <v>豆薯</v>
      </c>
      <c r="I234" s="86">
        <f>IFERROR(IF(LEN(D234)=LENB(D234),ROUND(LEFT(D234,2*LEN(D234)-LENB(D234))/$A$1,3),((ROUND(LEFT(D234,2*LEN(D234)-LENB(D234))/$A$1,3))*VLOOKUP(H234,食材表!$A:$B,2,FALSE))),"")</f>
        <v>0.04</v>
      </c>
      <c r="J234" s="93">
        <f t="shared" ref="J234:J235" si="160">E234</f>
        <v>0</v>
      </c>
      <c r="K234" s="86" t="str">
        <f>IFERROR(IF(LEN(F234)=LENB(F234),ROUND(LEFT(F234,2*LEN(F234)-LENB(F234))/$A$1,3),((ROUND(LEFT(F234,2*LEN(F234)-LENB(F234))/$A$1,3))*VLOOKUP(J234,食材表!$A:$B,2,FALSE))),"")</f>
        <v/>
      </c>
      <c r="L234" s="345"/>
      <c r="M234" s="345"/>
      <c r="N234" s="345"/>
      <c r="O234" s="345"/>
      <c r="P234" s="345"/>
      <c r="Q234" s="345"/>
      <c r="R234" s="345"/>
      <c r="S234" s="345"/>
    </row>
    <row r="235" spans="1:19">
      <c r="A235" s="33" t="str">
        <f>"3"&amp;+$B233</f>
        <v>3豆薯蛋花湯</v>
      </c>
      <c r="B235" s="351"/>
      <c r="C235" s="28"/>
      <c r="D235" s="8"/>
      <c r="E235" s="26"/>
      <c r="F235" s="37"/>
      <c r="G235" s="367"/>
      <c r="H235" s="92">
        <f t="shared" si="159"/>
        <v>0</v>
      </c>
      <c r="I235" s="84" t="str">
        <f>IFERROR(IF(LEN(D235)=LENB(D235),ROUND(LEFT(D235,2*LEN(D235)-LENB(D235))/$A$1,3),((ROUND(LEFT(D235,2*LEN(D235)-LENB(D235))/$A$1,3))*VLOOKUP(H235,食材表!$A:$B,2,FALSE))),"")</f>
        <v/>
      </c>
      <c r="J235" s="92">
        <f t="shared" si="160"/>
        <v>0</v>
      </c>
      <c r="K235" s="85" t="str">
        <f>IFERROR(IF(LEN(F235)=LENB(F235),ROUND(LEFT(F235,2*LEN(F235)-LENB(F235))/$A$1,3),((ROUND(LEFT(F235,2*LEN(F235)-LENB(F235))/$A$1,3))*VLOOKUP(J235,食材表!$A:$B,2,FALSE))),"")</f>
        <v/>
      </c>
      <c r="L235" s="345"/>
      <c r="M235" s="345"/>
      <c r="N235" s="345"/>
      <c r="O235" s="345"/>
      <c r="P235" s="345"/>
      <c r="Q235" s="345"/>
      <c r="R235" s="345"/>
      <c r="S235" s="345"/>
    </row>
    <row r="236" spans="1:19">
      <c r="A236" s="33" t="str">
        <f>"1"&amp;+$B236</f>
        <v>1味噌貢丸豆腐湯</v>
      </c>
      <c r="B236" s="359" t="s">
        <v>932</v>
      </c>
      <c r="C236" s="60" t="s">
        <v>99</v>
      </c>
      <c r="D236" s="78" t="s">
        <v>106</v>
      </c>
      <c r="E236" s="60" t="s">
        <v>100</v>
      </c>
      <c r="F236" s="36">
        <v>1.2</v>
      </c>
      <c r="G236" s="365" t="str">
        <f>B236</f>
        <v>味噌貢丸豆腐湯</v>
      </c>
      <c r="H236" s="91" t="str">
        <f>C236</f>
        <v>味噌</v>
      </c>
      <c r="I236" s="83">
        <f>IFERROR(IF(LEN(D236)=LENB(D236),ROUND(LEFT(D236,2*LEN(D236)-LENB(D236))/$A$1,3),((ROUND(LEFT(D236,2*LEN(D236)-LENB(D236))/$A$1,3))*VLOOKUP(H236,食材表!$A:$B,2,FALSE))),"")</f>
        <v>8.4000000000000012E-3</v>
      </c>
      <c r="J236" s="91" t="str">
        <f>E236</f>
        <v>板豆腐</v>
      </c>
      <c r="K236" s="83">
        <f>IFERROR(IF(LEN(F236)=LENB(F236),ROUND(LEFT(F236,2*LEN(F236)-LENB(F236))/$A$1,3),((ROUND(LEFT(F236,2*LEN(F236)-LENB(F236))/$A$1,3))*VLOOKUP(J236,食材表!$A:$B,2,FALSE))),"")</f>
        <v>2.4E-2</v>
      </c>
      <c r="L236" s="345">
        <f>IFERROR($I236*VLOOKUP($H236,食材表!$A:C,3,FALSE),0)+IFERROR($I237*VLOOKUP($H237,食材表!$A:C,3,FALSE),0)+IFERROR($I238*VLOOKUP($H238,食材表!$A:C,3,FALSE),0)+IFERROR($K236*VLOOKUP($J236,食材表!$A:C,3,FALSE),0)+IFERROR($K237*VLOOKUP($J237,食材表!$A:C,3,FALSE),0)+IFERROR($K238*VLOOKUP($J238,食材表!$A:C,3,FALSE),0)</f>
        <v>0</v>
      </c>
      <c r="M236" s="345">
        <f>IFERROR($I236*VLOOKUP($H236,食材表!$A:D,4,FALSE),0)+IFERROR($I237*VLOOKUP($H237,食材表!$A:D,4,FALSE),0)+IFERROR($I238*VLOOKUP($H238,食材表!$A:D,4,FALSE),0)+IFERROR($K236*VLOOKUP($J236,食材表!$A:D,4,FALSE),0)+IFERROR($K237*VLOOKUP($J237,食材表!$A:D,4,FALSE),0)+IFERROR($K238*VLOOKUP($J238,食材表!$A:D,4,FALSE),0)</f>
        <v>0.54</v>
      </c>
      <c r="N236" s="345">
        <f>IFERROR($I236*VLOOKUP($H236,食材表!$A:E,5,FALSE),0)+IFERROR($I237*VLOOKUP($H237,食材表!$A:E,5,FALSE),0)+IFERROR($I238*VLOOKUP($H238,食材表!$A:E,5,FALSE),0)+IFERROR($K236*VLOOKUP($J236,食材表!$A:E,5,FALSE),0)+IFERROR($K237*VLOOKUP($J237,食材表!$A:E,5,FALSE),0)+IFERROR($K238*VLOOKUP($J238,食材表!$A:E,5,FALSE),0)</f>
        <v>0</v>
      </c>
      <c r="O236" s="345">
        <f>IFERROR($I236*VLOOKUP($H236,食材表!$A:F,6,FALSE),0)+IFERROR($I237*VLOOKUP($H237,食材表!$A:F,6,FALSE),0)+IFERROR($I238*VLOOKUP($H238,食材表!$A:F,6,FALSE),0)+IFERROR($K236*VLOOKUP($J236,食材表!$A:F,6,FALSE),0)+IFERROR($K237*VLOOKUP($J237,食材表!$A:F,6,FALSE),0)+IFERROR($K238*VLOOKUP($J238,食材表!$A:F,6,FALSE),0)</f>
        <v>0.2</v>
      </c>
      <c r="P236" s="345">
        <f>IFERROR($I236*VLOOKUP($H236,食材表!$A:G,7,FALSE),0)+IFERROR($I237*VLOOKUP($H237,食材表!$A:G,7,FALSE),0)+IFERROR($I238*VLOOKUP($H238,食材表!$A:G,7,FALSE),0)+IFERROR($K236*VLOOKUP($J236,食材表!$A:G,7,FALSE),0)+IFERROR($K237*VLOOKUP($J237,食材表!$A:G,7,FALSE),0)+IFERROR($K238*VLOOKUP($J238,食材表!$A:G,7,FALSE),0)</f>
        <v>0</v>
      </c>
      <c r="Q236" s="345">
        <f>IFERROR($I236*VLOOKUP($H236,食材表!$A:H,8,FALSE),0)+IFERROR($I237*VLOOKUP($H237,食材表!$A:H,8,FALSE),0)+IFERROR($I238*VLOOKUP($H238,食材表!$A:H,8,FALSE),0)+IFERROR($K236*VLOOKUP($J236,食材表!$A:H,8,FALSE),0)+IFERROR($K237*VLOOKUP($J237,食材表!$A:H,8,FALSE),0)+IFERROR($K238*VLOOKUP($J238,食材表!$A:H,8,FALSE),0)</f>
        <v>0</v>
      </c>
      <c r="R236" s="345">
        <f>IFERROR($I236*VLOOKUP($H236,食材表!$A:I,9,FALSE),0)+IFERROR($I237*VLOOKUP($H237,食材表!$A:I,9,FALSE),0)+IFERROR($I238*VLOOKUP($H238,食材表!$A:I,9,FALSE),0)+IFERROR($K236*VLOOKUP($J236,食材表!$A:I,9,FALSE),0)+IFERROR($K237*VLOOKUP($J237,食材表!$A:I,9,FALSE),0)+IFERROR($K238*VLOOKUP($J238,食材表!$A:I,9,FALSE),0)</f>
        <v>0</v>
      </c>
      <c r="S236" s="345">
        <f>SUM(L236*70+M236*75+N236*120+O236*25+P236*60+Q236*45+R236*4)</f>
        <v>45.5</v>
      </c>
    </row>
    <row r="237" spans="1:19">
      <c r="A237" s="33" t="str">
        <f>"2"&amp;+$B236</f>
        <v>2味噌貢丸豆腐湯</v>
      </c>
      <c r="B237" s="360"/>
      <c r="C237" s="22" t="s">
        <v>171</v>
      </c>
      <c r="D237" s="79">
        <v>0.6</v>
      </c>
      <c r="E237" s="22" t="s">
        <v>53</v>
      </c>
      <c r="F237" s="36" t="s">
        <v>238</v>
      </c>
      <c r="G237" s="366"/>
      <c r="H237" s="93" t="str">
        <f t="shared" ref="H237:H238" si="161">C237</f>
        <v>貢丸</v>
      </c>
      <c r="I237" s="86">
        <f>IFERROR(IF(LEN(D237)=LENB(D237),ROUND(LEFT(D237,2*LEN(D237)-LENB(D237))/$A$1,3),((ROUND(LEFT(D237,2*LEN(D237)-LENB(D237))/$A$1,3))*VLOOKUP(H237,食材表!$A:$B,2,FALSE))),"")</f>
        <v>1.2E-2</v>
      </c>
      <c r="J237" s="93" t="str">
        <f t="shared" ref="J237:J238" si="162">E237</f>
        <v>柴魚片</v>
      </c>
      <c r="K237" s="86">
        <f>IFERROR(IF(LEN(F237)=LENB(F237),ROUND(LEFT(F237,2*LEN(F237)-LENB(F237))/$A$1,3),((ROUND(LEFT(F237,2*LEN(F237)-LENB(F237))/$A$1,3))*VLOOKUP(J237,食材表!$A:$B,2,FALSE))),"")</f>
        <v>6.0000000000000001E-3</v>
      </c>
      <c r="L237" s="345"/>
      <c r="M237" s="345"/>
      <c r="N237" s="345"/>
      <c r="O237" s="345"/>
      <c r="P237" s="345"/>
      <c r="Q237" s="345"/>
      <c r="R237" s="345"/>
      <c r="S237" s="345"/>
    </row>
    <row r="238" spans="1:19">
      <c r="A238" s="33" t="str">
        <f>"3"&amp;+$B236</f>
        <v>3味噌貢丸豆腐湯</v>
      </c>
      <c r="B238" s="361"/>
      <c r="C238" s="26" t="s">
        <v>417</v>
      </c>
      <c r="D238" s="37">
        <v>0.1</v>
      </c>
      <c r="E238" s="26"/>
      <c r="F238" s="37"/>
      <c r="G238" s="367"/>
      <c r="H238" s="92" t="str">
        <f t="shared" si="161"/>
        <v>海帶芽</v>
      </c>
      <c r="I238" s="84">
        <f>IFERROR(IF(LEN(D238)=LENB(D238),ROUND(LEFT(D238,2*LEN(D238)-LENB(D238))/$A$1,3),((ROUND(LEFT(D238,2*LEN(D238)-LENB(D238))/$A$1,3))*VLOOKUP(H238,食材表!$A:$B,2,FALSE))),"")</f>
        <v>2E-3</v>
      </c>
      <c r="J238" s="92">
        <f t="shared" si="162"/>
        <v>0</v>
      </c>
      <c r="K238" s="85" t="str">
        <f>IFERROR(IF(LEN(F238)=LENB(F238),ROUND(LEFT(F238,2*LEN(F238)-LENB(F238))/$A$1,3),((ROUND(LEFT(F238,2*LEN(F238)-LENB(F238))/$A$1,3))*VLOOKUP(J238,食材表!$A:$B,2,FALSE))),"")</f>
        <v/>
      </c>
      <c r="L238" s="345"/>
      <c r="M238" s="345"/>
      <c r="N238" s="345"/>
      <c r="O238" s="345"/>
      <c r="P238" s="345"/>
      <c r="Q238" s="345"/>
      <c r="R238" s="345"/>
      <c r="S238" s="345"/>
    </row>
    <row r="239" spans="1:19">
      <c r="A239" s="33" t="str">
        <f>"1"&amp;+$B239</f>
        <v>1玉米濃湯</v>
      </c>
      <c r="B239" s="349" t="s">
        <v>174</v>
      </c>
      <c r="C239" s="153" t="s">
        <v>153</v>
      </c>
      <c r="D239" s="59" t="s">
        <v>125</v>
      </c>
      <c r="E239" s="75" t="s">
        <v>160</v>
      </c>
      <c r="F239" s="59" t="s">
        <v>958</v>
      </c>
      <c r="G239" s="352" t="str">
        <f>B239</f>
        <v>玉米濃湯</v>
      </c>
      <c r="H239" s="91" t="str">
        <f>C239</f>
        <v>玉米粒罐頭</v>
      </c>
      <c r="I239" s="83">
        <f>IFERROR(IF(LEN(D239)=LENB(D239),ROUND(LEFT(D239,2*LEN(D239)-LENB(D239))/$A$1,3),((ROUND(LEFT(D239,2*LEN(D239)-LENB(D239))/$A$1,3))*VLOOKUP(H239,食材表!$A:$B,2,FALSE))),"")</f>
        <v>6.8000000000000005E-3</v>
      </c>
      <c r="J239" s="91" t="str">
        <f>E239</f>
        <v>胡蘿蔔</v>
      </c>
      <c r="K239" s="83">
        <f>IFERROR(IF(LEN(F239)=LENB(F239),ROUND(LEFT(F239,2*LEN(F239)-LENB(F239))/$A$1,3),((ROUND(LEFT(F239,2*LEN(F239)-LENB(F239))/$A$1,3))*VLOOKUP(J239,食材表!$A:$B,2,FALSE))),"")</f>
        <v>5.0000000000000001E-3</v>
      </c>
      <c r="L239" s="342">
        <f>IFERROR($I239*VLOOKUP($H239,食材表!$A:C,3,FALSE),0)+IFERROR($I240*VLOOKUP($H240,食材表!$A:C,3,FALSE),0)+IFERROR($I241*VLOOKUP($H241,食材表!$A:C,3,FALSE),0)+IFERROR($K239*VLOOKUP($J239,食材表!$A:C,3,FALSE),0)+IFERROR($K240*VLOOKUP($J240,食材表!$A:C,3,FALSE),0)+IFERROR($K241*VLOOKUP($J241,食材表!$A:C,3,FALSE),0)</f>
        <v>0.08</v>
      </c>
      <c r="M239" s="342">
        <f>IFERROR($I239*VLOOKUP($H239,食材表!$A:D,4,FALSE),0)+IFERROR($I240*VLOOKUP($H240,食材表!$A:D,4,FALSE),0)+IFERROR($I241*VLOOKUP($H241,食材表!$A:D,4,FALSE),0)+IFERROR($K239*VLOOKUP($J239,食材表!$A:D,4,FALSE),0)+IFERROR($K240*VLOOKUP($J240,食材表!$A:D,4,FALSE),0)+IFERROR($K241*VLOOKUP($J241,食材表!$A:D,4,FALSE),0)</f>
        <v>0.18461538461538463</v>
      </c>
      <c r="N239" s="342">
        <f>IFERROR($I239*VLOOKUP($H239,食材表!$A:E,5,FALSE),0)+IFERROR($I240*VLOOKUP($H240,食材表!$A:E,5,FALSE),0)+IFERROR($I241*VLOOKUP($H241,食材表!$A:E,5,FALSE),0)+IFERROR($K239*VLOOKUP($J239,食材表!$A:E,5,FALSE),0)+IFERROR($K240*VLOOKUP($J240,食材表!$A:E,5,FALSE),0)+IFERROR($K241*VLOOKUP($J241,食材表!$A:E,5,FALSE),0)</f>
        <v>0</v>
      </c>
      <c r="O239" s="342">
        <f>IFERROR($I239*VLOOKUP($H239,食材表!$A:F,6,FALSE),0)+IFERROR($I240*VLOOKUP($H240,食材表!$A:F,6,FALSE),0)+IFERROR($I241*VLOOKUP($H241,食材表!$A:F,6,FALSE),0)+IFERROR($K239*VLOOKUP($J239,食材表!$A:F,6,FALSE),0)+IFERROR($K240*VLOOKUP($J240,食材表!$A:F,6,FALSE),0)+IFERROR($K241*VLOOKUP($J241,食材表!$A:F,6,FALSE),0)</f>
        <v>0.05</v>
      </c>
      <c r="P239" s="342">
        <f>IFERROR($I239*VLOOKUP($H239,食材表!$A:G,7,FALSE),0)+IFERROR($I240*VLOOKUP($H240,食材表!$A:G,7,FALSE),0)+IFERROR($I241*VLOOKUP($H241,食材表!$A:G,7,FALSE),0)+IFERROR($K239*VLOOKUP($J239,食材表!$A:G,7,FALSE),0)+IFERROR($K240*VLOOKUP($J240,食材表!$A:G,7,FALSE),0)+IFERROR($K241*VLOOKUP($J241,食材表!$A:G,7,FALSE),0)</f>
        <v>0</v>
      </c>
      <c r="Q239" s="342">
        <f>IFERROR($I239*VLOOKUP($H239,食材表!$A:H,8,FALSE),0)+IFERROR($I240*VLOOKUP($H240,食材表!$A:H,8,FALSE),0)+IFERROR($I241*VLOOKUP($H241,食材表!$A:H,8,FALSE),0)+IFERROR($K239*VLOOKUP($J239,食材表!$A:H,8,FALSE),0)+IFERROR($K240*VLOOKUP($J240,食材表!$A:H,8,FALSE),0)+IFERROR($K241*VLOOKUP($J241,食材表!$A:H,8,FALSE),0)</f>
        <v>0</v>
      </c>
      <c r="R239" s="342">
        <f>IFERROR($I239*VLOOKUP($H239,食材表!$A:I,9,FALSE),0)+IFERROR($I240*VLOOKUP($H240,食材表!$A:I,9,FALSE),0)+IFERROR($I241*VLOOKUP($H241,食材表!$A:I,9,FALSE),0)+IFERROR($K239*VLOOKUP($J239,食材表!$A:I,9,FALSE),0)+IFERROR($K240*VLOOKUP($J240,食材表!$A:I,9,FALSE),0)+IFERROR($K241*VLOOKUP($J241,食材表!$A:I,9,FALSE),0)</f>
        <v>0</v>
      </c>
      <c r="S239" s="342">
        <f>SUM(L239*70+M239*75+N239*120+O239*25+P239*60+Q239*45+R239*4)</f>
        <v>20.696153846153848</v>
      </c>
    </row>
    <row r="240" spans="1:19">
      <c r="A240" s="33" t="str">
        <f>"2"&amp;+$B239</f>
        <v>2玉米濃湯</v>
      </c>
      <c r="B240" s="350"/>
      <c r="C240" s="22" t="s">
        <v>1041</v>
      </c>
      <c r="D240" s="36" t="s">
        <v>986</v>
      </c>
      <c r="E240" s="23"/>
      <c r="F240" s="36"/>
      <c r="G240" s="353"/>
      <c r="H240" s="93" t="str">
        <f t="shared" ref="H240:H241" si="163">C240</f>
        <v>玉米醬罐頭</v>
      </c>
      <c r="I240" s="86" t="str">
        <f>IFERROR(IF(LEN(D240)=LENB(D240),ROUND(LEFT(D240,2*LEN(D240)-LENB(D240))/$A$1,3),((ROUND(LEFT(D240,2*LEN(D240)-LENB(D240))/$A$1,3))*VLOOKUP(H240,食材表!$A:$B,2,FALSE))),"")</f>
        <v/>
      </c>
      <c r="J240" s="93">
        <f t="shared" ref="J240:J241" si="164">E240</f>
        <v>0</v>
      </c>
      <c r="K240" s="86" t="str">
        <f>IFERROR(IF(LEN(F240)=LENB(F240),ROUND(LEFT(F240,2*LEN(F240)-LENB(F240))/$A$1,3),((ROUND(LEFT(F240,2*LEN(F240)-LENB(F240))/$A$1,3))*VLOOKUP(J240,食材表!$A:$B,2,FALSE))),"")</f>
        <v/>
      </c>
      <c r="L240" s="343"/>
      <c r="M240" s="343"/>
      <c r="N240" s="343"/>
      <c r="O240" s="343"/>
      <c r="P240" s="343"/>
      <c r="Q240" s="343"/>
      <c r="R240" s="343"/>
      <c r="S240" s="343"/>
    </row>
    <row r="241" spans="1:19">
      <c r="A241" s="33" t="str">
        <f>"3"&amp;+$B239</f>
        <v>3玉米濃湯</v>
      </c>
      <c r="B241" s="351"/>
      <c r="C241" s="26" t="s">
        <v>48</v>
      </c>
      <c r="D241" s="37">
        <v>0.6</v>
      </c>
      <c r="E241" s="25"/>
      <c r="F241" s="37"/>
      <c r="G241" s="354"/>
      <c r="H241" s="92" t="str">
        <f t="shared" si="163"/>
        <v>雞蛋</v>
      </c>
      <c r="I241" s="84">
        <f>IFERROR(IF(LEN(D241)=LENB(D241),ROUND(LEFT(D241,2*LEN(D241)-LENB(D241))/$A$1,3),((ROUND(LEFT(D241,2*LEN(D241)-LENB(D241))/$A$1,3))*VLOOKUP(H241,食材表!$A:$B,2,FALSE))),"")</f>
        <v>1.2E-2</v>
      </c>
      <c r="J241" s="92">
        <f t="shared" si="164"/>
        <v>0</v>
      </c>
      <c r="K241" s="85" t="str">
        <f>IFERROR(IF(LEN(F241)=LENB(F241),ROUND(LEFT(F241,2*LEN(F241)-LENB(F241))/$A$1,3),((ROUND(LEFT(F241,2*LEN(F241)-LENB(F241))/$A$1,3))*VLOOKUP(J241,食材表!$A:$B,2,FALSE))),"")</f>
        <v/>
      </c>
      <c r="L241" s="344"/>
      <c r="M241" s="344"/>
      <c r="N241" s="344"/>
      <c r="O241" s="344"/>
      <c r="P241" s="344"/>
      <c r="Q241" s="344"/>
      <c r="R241" s="344"/>
      <c r="S241" s="344"/>
    </row>
    <row r="242" spans="1:19">
      <c r="A242" s="33" t="str">
        <f>"1"&amp;+$B242</f>
        <v>1蔬菜濃湯</v>
      </c>
      <c r="B242" s="397" t="s">
        <v>272</v>
      </c>
      <c r="C242" s="60" t="s">
        <v>161</v>
      </c>
      <c r="D242" s="59">
        <v>1</v>
      </c>
      <c r="E242" s="60" t="s">
        <v>46</v>
      </c>
      <c r="F242" s="36">
        <v>1.2</v>
      </c>
      <c r="G242" s="352" t="str">
        <f>B242</f>
        <v>蔬菜濃湯</v>
      </c>
      <c r="H242" s="91" t="str">
        <f>C242</f>
        <v>洋蔥</v>
      </c>
      <c r="I242" s="83">
        <f>IFERROR(IF(LEN(D242)=LENB(D242),ROUND(LEFT(D242,2*LEN(D242)-LENB(D242))/$A$1,3),((ROUND(LEFT(D242,2*LEN(D242)-LENB(D242))/$A$1,3))*VLOOKUP(H242,食材表!$A:$B,2,FALSE))),"")</f>
        <v>0.02</v>
      </c>
      <c r="J242" s="91" t="str">
        <f>E242</f>
        <v>高麗菜</v>
      </c>
      <c r="K242" s="83">
        <f>IFERROR(IF(LEN(F242)=LENB(F242),ROUND(LEFT(F242,2*LEN(F242)-LENB(F242))/$A$1,3),((ROUND(LEFT(F242,2*LEN(F242)-LENB(F242))/$A$1,3))*VLOOKUP(J242,食材表!$A:$B,2,FALSE))),"")</f>
        <v>2.4E-2</v>
      </c>
      <c r="L242" s="342">
        <f>IFERROR($I242*VLOOKUP($H242,食材表!$A:C,3,FALSE),0)+IFERROR($I243*VLOOKUP($H243,食材表!$A:C,3,FALSE),0)+IFERROR($I244*VLOOKUP($H244,食材表!$A:C,3,FALSE),0)+IFERROR($K242*VLOOKUP($J242,食材表!$A:C,3,FALSE),0)+IFERROR($K243*VLOOKUP($J243,食材表!$A:C,3,FALSE),0)+IFERROR($K244*VLOOKUP($J244,食材表!$A:C,3,FALSE),0)</f>
        <v>0.22222222222222221</v>
      </c>
      <c r="M242" s="342">
        <f>IFERROR($I242*VLOOKUP($H242,食材表!$A:D,4,FALSE),0)+IFERROR($I243*VLOOKUP($H243,食材表!$A:D,4,FALSE),0)+IFERROR($I244*VLOOKUP($H244,食材表!$A:D,4,FALSE),0)+IFERROR($K242*VLOOKUP($J242,食材表!$A:D,4,FALSE),0)+IFERROR($K243*VLOOKUP($J243,食材表!$A:D,4,FALSE),0)+IFERROR($K244*VLOOKUP($J244,食材表!$A:D,4,FALSE),0)</f>
        <v>0.22857142857142859</v>
      </c>
      <c r="N242" s="342">
        <f>IFERROR($I242*VLOOKUP($H242,食材表!$A:E,5,FALSE),0)+IFERROR($I243*VLOOKUP($H243,食材表!$A:E,5,FALSE),0)+IFERROR($I244*VLOOKUP($H244,食材表!$A:E,5,FALSE),0)+IFERROR($K242*VLOOKUP($J242,食材表!$A:E,5,FALSE),0)+IFERROR($K243*VLOOKUP($J243,食材表!$A:E,5,FALSE),0)+IFERROR($K244*VLOOKUP($J244,食材表!$A:E,5,FALSE),0)</f>
        <v>0</v>
      </c>
      <c r="O242" s="342">
        <f>IFERROR($I242*VLOOKUP($H242,食材表!$A:F,6,FALSE),0)+IFERROR($I243*VLOOKUP($H243,食材表!$A:F,6,FALSE),0)+IFERROR($I244*VLOOKUP($H244,食材表!$A:F,6,FALSE),0)+IFERROR($K242*VLOOKUP($J242,食材表!$A:F,6,FALSE),0)+IFERROR($K243*VLOOKUP($J243,食材表!$A:F,6,FALSE),0)+IFERROR($K244*VLOOKUP($J244,食材表!$A:F,6,FALSE),0)</f>
        <v>0.5</v>
      </c>
      <c r="P242" s="342">
        <f>IFERROR($I242*VLOOKUP($H242,食材表!$A:G,7,FALSE),0)+IFERROR($I243*VLOOKUP($H243,食材表!$A:G,7,FALSE),0)+IFERROR($I244*VLOOKUP($H244,食材表!$A:G,7,FALSE),0)+IFERROR($K242*VLOOKUP($J242,食材表!$A:G,7,FALSE),0)+IFERROR($K243*VLOOKUP($J243,食材表!$A:G,7,FALSE),0)+IFERROR($K244*VLOOKUP($J244,食材表!$A:G,7,FALSE),0)</f>
        <v>0</v>
      </c>
      <c r="Q242" s="342">
        <f>IFERROR($I242*VLOOKUP($H242,食材表!$A:H,8,FALSE),0)+IFERROR($I243*VLOOKUP($H243,食材表!$A:H,8,FALSE),0)+IFERROR($I244*VLOOKUP($H244,食材表!$A:H,8,FALSE),0)+IFERROR($K242*VLOOKUP($J242,食材表!$A:H,8,FALSE),0)+IFERROR($K243*VLOOKUP($J243,食材表!$A:H,8,FALSE),0)+IFERROR($K244*VLOOKUP($J244,食材表!$A:H,8,FALSE),0)</f>
        <v>0</v>
      </c>
      <c r="R242" s="342">
        <f>IFERROR($I242*VLOOKUP($H242,食材表!$A:I,9,FALSE),0)+IFERROR($I243*VLOOKUP($H243,食材表!$A:I,9,FALSE),0)+IFERROR($I244*VLOOKUP($H244,食材表!$A:I,9,FALSE),0)+IFERROR($K242*VLOOKUP($J242,食材表!$A:I,9,FALSE),0)+IFERROR($K243*VLOOKUP($J243,食材表!$A:I,9,FALSE),0)+IFERROR($K244*VLOOKUP($J244,食材表!$A:I,9,FALSE),0)</f>
        <v>0</v>
      </c>
      <c r="S242" s="342">
        <f>SUM(L242*70+M242*75+N242*120+O242*25+P242*60+Q242*45+R242*4)</f>
        <v>45.198412698412703</v>
      </c>
    </row>
    <row r="243" spans="1:19">
      <c r="A243" s="33" t="str">
        <f>"2"&amp;+$B242</f>
        <v>2蔬菜濃湯</v>
      </c>
      <c r="B243" s="398"/>
      <c r="C243" s="22" t="s">
        <v>273</v>
      </c>
      <c r="D243" s="36">
        <v>1</v>
      </c>
      <c r="E243" s="22" t="s">
        <v>268</v>
      </c>
      <c r="F243" s="36" t="s">
        <v>125</v>
      </c>
      <c r="G243" s="353"/>
      <c r="H243" s="93" t="str">
        <f t="shared" ref="H243:H244" si="165">C243</f>
        <v>洋芋</v>
      </c>
      <c r="I243" s="86">
        <f>IFERROR(IF(LEN(D243)=LENB(D243),ROUND(LEFT(D243,2*LEN(D243)-LENB(D243))/$A$1,3),((ROUND(LEFT(D243,2*LEN(D243)-LENB(D243))/$A$1,3))*VLOOKUP(H243,食材表!$A:$B,2,FALSE))),"")</f>
        <v>0.02</v>
      </c>
      <c r="J243" s="93" t="str">
        <f t="shared" ref="J243:J244" si="166">E243</f>
        <v>液態奶油</v>
      </c>
      <c r="K243" s="86">
        <f>IFERROR(IF(LEN(F243)=LENB(F243),ROUND(LEFT(F243,2*LEN(F243)-LENB(F243))/$A$1,3),((ROUND(LEFT(F243,2*LEN(F243)-LENB(F243))/$A$1,3))*VLOOKUP(J243,食材表!$A:$B,2,FALSE))),"")</f>
        <v>0.02</v>
      </c>
      <c r="L243" s="343"/>
      <c r="M243" s="343"/>
      <c r="N243" s="343"/>
      <c r="O243" s="343"/>
      <c r="P243" s="343"/>
      <c r="Q243" s="343"/>
      <c r="R243" s="343"/>
      <c r="S243" s="343"/>
    </row>
    <row r="244" spans="1:19">
      <c r="A244" s="33" t="str">
        <f>"3"&amp;+$B242</f>
        <v>3蔬菜濃湯</v>
      </c>
      <c r="B244" s="399"/>
      <c r="C244" s="26" t="s">
        <v>160</v>
      </c>
      <c r="D244" s="37">
        <v>0.3</v>
      </c>
      <c r="E244" s="26" t="s">
        <v>274</v>
      </c>
      <c r="F244" s="37">
        <v>0.4</v>
      </c>
      <c r="G244" s="354"/>
      <c r="H244" s="92" t="str">
        <f t="shared" si="165"/>
        <v>胡蘿蔔</v>
      </c>
      <c r="I244" s="84">
        <f>IFERROR(IF(LEN(D244)=LENB(D244),ROUND(LEFT(D244,2*LEN(D244)-LENB(D244))/$A$1,3),((ROUND(LEFT(D244,2*LEN(D244)-LENB(D244))/$A$1,3))*VLOOKUP(H244,食材表!$A:$B,2,FALSE))),"")</f>
        <v>6.0000000000000001E-3</v>
      </c>
      <c r="J244" s="92" t="str">
        <f t="shared" si="166"/>
        <v>肉絲</v>
      </c>
      <c r="K244" s="85">
        <f>IFERROR(IF(LEN(F244)=LENB(F244),ROUND(LEFT(F244,2*LEN(F244)-LENB(F244))/$A$1,3),((ROUND(LEFT(F244,2*LEN(F244)-LENB(F244))/$A$1,3))*VLOOKUP(J244,食材表!$A:$B,2,FALSE))),"")</f>
        <v>8.0000000000000002E-3</v>
      </c>
      <c r="L244" s="344"/>
      <c r="M244" s="344"/>
      <c r="N244" s="344"/>
      <c r="O244" s="344"/>
      <c r="P244" s="344"/>
      <c r="Q244" s="344"/>
      <c r="R244" s="344"/>
      <c r="S244" s="344"/>
    </row>
    <row r="245" spans="1:19">
      <c r="A245" s="33" t="str">
        <f>"1"&amp;+$B245</f>
        <v>1馬鈴薯濃湯</v>
      </c>
      <c r="B245" s="377" t="s">
        <v>142</v>
      </c>
      <c r="C245" s="60" t="s">
        <v>61</v>
      </c>
      <c r="D245" s="59">
        <v>1</v>
      </c>
      <c r="E245" s="22" t="s">
        <v>63</v>
      </c>
      <c r="F245" s="36" t="s">
        <v>64</v>
      </c>
      <c r="G245" s="346" t="str">
        <f>B245</f>
        <v>馬鈴薯濃湯</v>
      </c>
      <c r="H245" s="91" t="str">
        <f>C245</f>
        <v>洋蔥</v>
      </c>
      <c r="I245" s="83">
        <f>IFERROR(IF(LEN(D245)=LENB(D245),ROUND(LEFT(D245,2*LEN(D245)-LENB(D245))/$A$1,3),((ROUND(LEFT(D245,2*LEN(D245)-LENB(D245))/$A$1,3))*VLOOKUP(H245,食材表!$A:$B,2,FALSE))),"")</f>
        <v>0.02</v>
      </c>
      <c r="J245" s="91" t="str">
        <f>E245</f>
        <v>液態奶油</v>
      </c>
      <c r="K245" s="83">
        <f>IFERROR(IF(LEN(F245)=LENB(F245),ROUND(LEFT(F245,2*LEN(F245)-LENB(F245))/$A$1,3),((ROUND(LEFT(F245,2*LEN(F245)-LENB(F245))/$A$1,3))*VLOOKUP(J245,食材表!$A:$B,2,FALSE))),"")</f>
        <v>0.02</v>
      </c>
      <c r="L245" s="342">
        <f>IFERROR($I245*VLOOKUP($H245,食材表!$A:C,3,FALSE),0)+IFERROR($I246*VLOOKUP($H246,食材表!$A:C,3,FALSE),0)+IFERROR($I247*VLOOKUP($H247,食材表!$A:C,3,FALSE),0)+IFERROR($K245*VLOOKUP($J245,食材表!$A:C,3,FALSE),0)+IFERROR($K246*VLOOKUP($J246,食材表!$A:C,3,FALSE),0)+IFERROR($K247*VLOOKUP($J247,食材表!$A:C,3,FALSE),0)</f>
        <v>0</v>
      </c>
      <c r="M245" s="342">
        <f>IFERROR($I245*VLOOKUP($H245,食材表!$A:D,4,FALSE),0)+IFERROR($I246*VLOOKUP($H246,食材表!$A:D,4,FALSE),0)+IFERROR($I247*VLOOKUP($H247,食材表!$A:D,4,FALSE),0)+IFERROR($K245*VLOOKUP($J245,食材表!$A:D,4,FALSE),0)+IFERROR($K246*VLOOKUP($J246,食材表!$A:D,4,FALSE),0)+IFERROR($K247*VLOOKUP($J247,食材表!$A:D,4,FALSE),0)</f>
        <v>0</v>
      </c>
      <c r="N245" s="342">
        <f>IFERROR($I245*VLOOKUP($H245,食材表!$A:E,5,FALSE),0)+IFERROR($I246*VLOOKUP($H246,食材表!$A:E,5,FALSE),0)+IFERROR($I247*VLOOKUP($H247,食材表!$A:E,5,FALSE),0)+IFERROR($K245*VLOOKUP($J245,食材表!$A:E,5,FALSE),0)+IFERROR($K246*VLOOKUP($J246,食材表!$A:E,5,FALSE),0)+IFERROR($K247*VLOOKUP($J247,食材表!$A:E,5,FALSE),0)</f>
        <v>0</v>
      </c>
      <c r="O245" s="342">
        <f>IFERROR($I245*VLOOKUP($H245,食材表!$A:F,6,FALSE),0)+IFERROR($I246*VLOOKUP($H246,食材表!$A:F,6,FALSE),0)+IFERROR($I247*VLOOKUP($H247,食材表!$A:F,6,FALSE),0)+IFERROR($K245*VLOOKUP($J245,食材表!$A:F,6,FALSE),0)+IFERROR($K246*VLOOKUP($J246,食材表!$A:F,6,FALSE),0)+IFERROR($K247*VLOOKUP($J247,食材表!$A:F,6,FALSE),0)</f>
        <v>0.26</v>
      </c>
      <c r="P245" s="342">
        <f>IFERROR($I245*VLOOKUP($H245,食材表!$A:G,7,FALSE),0)+IFERROR($I246*VLOOKUP($H246,食材表!$A:G,7,FALSE),0)+IFERROR($I247*VLOOKUP($H247,食材表!$A:G,7,FALSE),0)+IFERROR($K245*VLOOKUP($J245,食材表!$A:G,7,FALSE),0)+IFERROR($K246*VLOOKUP($J246,食材表!$A:G,7,FALSE),0)+IFERROR($K247*VLOOKUP($J247,食材表!$A:G,7,FALSE),0)</f>
        <v>0</v>
      </c>
      <c r="Q245" s="342">
        <f>IFERROR($I245*VLOOKUP($H245,食材表!$A:H,8,FALSE),0)+IFERROR($I246*VLOOKUP($H246,食材表!$A:H,8,FALSE),0)+IFERROR($I247*VLOOKUP($H247,食材表!$A:H,8,FALSE),0)+IFERROR($K245*VLOOKUP($J245,食材表!$A:H,8,FALSE),0)+IFERROR($K246*VLOOKUP($J246,食材表!$A:H,8,FALSE),0)+IFERROR($K247*VLOOKUP($J247,食材表!$A:H,8,FALSE),0)</f>
        <v>0</v>
      </c>
      <c r="R245" s="342">
        <f>IFERROR($I245*VLOOKUP($H245,食材表!$A:I,9,FALSE),0)+IFERROR($I246*VLOOKUP($H246,食材表!$A:I,9,FALSE),0)+IFERROR($I247*VLOOKUP($H247,食材表!$A:I,9,FALSE),0)+IFERROR($K245*VLOOKUP($J245,食材表!$A:I,9,FALSE),0)+IFERROR($K246*VLOOKUP($J246,食材表!$A:I,9,FALSE),0)+IFERROR($K247*VLOOKUP($J247,食材表!$A:I,9,FALSE),0)</f>
        <v>0</v>
      </c>
      <c r="S245" s="342">
        <f>SUM(L245*70+M245*75+N245*120+O245*25+P245*60+Q245*45+R245*4)</f>
        <v>6.5</v>
      </c>
    </row>
    <row r="246" spans="1:19">
      <c r="A246" s="33" t="str">
        <f>"2"&amp;+$B245</f>
        <v>2馬鈴薯濃湯</v>
      </c>
      <c r="B246" s="378"/>
      <c r="C246" s="22" t="s">
        <v>62</v>
      </c>
      <c r="D246" s="36">
        <v>2.5</v>
      </c>
      <c r="E246" s="22"/>
      <c r="F246" s="36"/>
      <c r="G246" s="347"/>
      <c r="H246" s="93" t="str">
        <f t="shared" ref="H246:H247" si="167">C246</f>
        <v>洋芋</v>
      </c>
      <c r="I246" s="86">
        <f>(2*IFERROR(MID(D246,FIND("2L*",D246)+3,1),0)+1*IFERROR(MID(D246,FIND("1L*",D246)+3,2),0))/$A$1</f>
        <v>0</v>
      </c>
      <c r="J246" s="93">
        <f t="shared" ref="J246:J247" si="168">E246</f>
        <v>0</v>
      </c>
      <c r="K246" s="86" t="str">
        <f>IFERROR(IF(LEN(F246)=LENB(F246),ROUND(LEFT(F246,2*LEN(F246)-LENB(F246))/$A$1,3),((ROUND(LEFT(F246,2*LEN(F246)-LENB(F246))/$A$1,3))*VLOOKUP(J246,食材表!$A:$B,2,FALSE))),"")</f>
        <v/>
      </c>
      <c r="L246" s="343"/>
      <c r="M246" s="343"/>
      <c r="N246" s="343"/>
      <c r="O246" s="343"/>
      <c r="P246" s="343"/>
      <c r="Q246" s="343"/>
      <c r="R246" s="343"/>
      <c r="S246" s="343"/>
    </row>
    <row r="247" spans="1:19">
      <c r="A247" s="33" t="str">
        <f>"3"&amp;+$B245</f>
        <v>3馬鈴薯濃湯</v>
      </c>
      <c r="B247" s="379"/>
      <c r="C247" s="26" t="s">
        <v>60</v>
      </c>
      <c r="D247" s="37">
        <v>0.3</v>
      </c>
      <c r="E247" s="26"/>
      <c r="F247" s="37"/>
      <c r="G247" s="348"/>
      <c r="H247" s="92" t="str">
        <f t="shared" si="167"/>
        <v>胡蘿蔔</v>
      </c>
      <c r="I247" s="84">
        <f>IFERROR(IF(LEN(D247)=LENB(D247),ROUND(LEFT(D247,2*LEN(D247)-LENB(D247))/$A$1,3),((ROUND(LEFT(D247,2*LEN(D247)-LENB(D247))/$A$1,3))*VLOOKUP(H247,食材表!$A:$B,2,FALSE))),"")</f>
        <v>6.0000000000000001E-3</v>
      </c>
      <c r="J247" s="92">
        <f t="shared" si="168"/>
        <v>0</v>
      </c>
      <c r="K247" s="85" t="str">
        <f>IFERROR(IF(LEN(F247)=LENB(F247),ROUND(LEFT(F247,2*LEN(F247)-LENB(F247))/$A$1,3),((ROUND(LEFT(F247,2*LEN(F247)-LENB(F247))/$A$1,3))*VLOOKUP(J247,食材表!$A:$B,2,FALSE))),"")</f>
        <v/>
      </c>
      <c r="L247" s="344"/>
      <c r="M247" s="344"/>
      <c r="N247" s="344"/>
      <c r="O247" s="344"/>
      <c r="P247" s="344"/>
      <c r="Q247" s="344"/>
      <c r="R247" s="344"/>
      <c r="S247" s="344"/>
    </row>
    <row r="248" spans="1:19">
      <c r="A248" s="33" t="str">
        <f>"1"&amp;+$B248</f>
        <v>1巧達濃湯</v>
      </c>
      <c r="B248" s="355" t="s">
        <v>1012</v>
      </c>
      <c r="C248" s="57" t="s">
        <v>428</v>
      </c>
      <c r="D248" s="56">
        <v>0.6</v>
      </c>
      <c r="E248" s="58" t="s">
        <v>194</v>
      </c>
      <c r="F248" s="56" t="s">
        <v>131</v>
      </c>
      <c r="G248" s="352" t="str">
        <f>B248</f>
        <v>巧達濃湯</v>
      </c>
      <c r="H248" s="91" t="str">
        <f>C248</f>
        <v>培根</v>
      </c>
      <c r="I248" s="83">
        <f>IFERROR(IF(LEN(D248)=LENB(D248),ROUND(LEFT(D248,2*LEN(D248)-LENB(D248))/$A$1,3),((ROUND(LEFT(D248,2*LEN(D248)-LENB(D248))/$A$1,3))*VLOOKUP(H248,食材表!$A:$B,2,FALSE))),"")</f>
        <v>1.2E-2</v>
      </c>
      <c r="J248" s="91" t="str">
        <f>E248</f>
        <v>玉米粒</v>
      </c>
      <c r="K248" s="83">
        <f>IFERROR(IF(LEN(F248)=LENB(F248),ROUND(LEFT(F248,2*LEN(F248)-LENB(F248))/$A$1,3),((ROUND(LEFT(F248,2*LEN(F248)-LENB(F248))/$A$1,3))*VLOOKUP(J248,食材表!$A:$B,2,FALSE))),"")</f>
        <v>2.0400000000000001E-2</v>
      </c>
      <c r="L248" s="342">
        <f>IFERROR($I248*VLOOKUP($H248,食材表!$A:C,3,FALSE),0)+IFERROR($I249*VLOOKUP($H249,食材表!$A:C,3,FALSE),0)+IFERROR($I250*VLOOKUP($H250,食材表!$A:C,3,FALSE),0)+IFERROR($K248*VLOOKUP($J248,食材表!$A:C,3,FALSE),0)+IFERROR($K249*VLOOKUP($J249,食材表!$A:C,3,FALSE),0)+IFERROR($K250*VLOOKUP($J250,食材表!$A:C,3,FALSE),0)</f>
        <v>0.68444444444444441</v>
      </c>
      <c r="M248" s="342">
        <f>IFERROR($I248*VLOOKUP($H248,食材表!$A:D,4,FALSE),0)+IFERROR($I249*VLOOKUP($H249,食材表!$A:D,4,FALSE),0)+IFERROR($I250*VLOOKUP($H250,食材表!$A:D,4,FALSE),0)+IFERROR($K248*VLOOKUP($J248,食材表!$A:D,4,FALSE),0)+IFERROR($K249*VLOOKUP($J249,食材表!$A:D,4,FALSE),0)+IFERROR($K250*VLOOKUP($J250,食材表!$A:D,4,FALSE),0)</f>
        <v>0</v>
      </c>
      <c r="N248" s="342">
        <f>IFERROR($I248*VLOOKUP($H248,食材表!$A:E,5,FALSE),0)+IFERROR($I249*VLOOKUP($H249,食材表!$A:E,5,FALSE),0)+IFERROR($I250*VLOOKUP($H250,食材表!$A:E,5,FALSE),0)+IFERROR($K248*VLOOKUP($J248,食材表!$A:E,5,FALSE),0)+IFERROR($K249*VLOOKUP($J249,食材表!$A:E,5,FALSE),0)+IFERROR($K250*VLOOKUP($J250,食材表!$A:E,5,FALSE),0)</f>
        <v>0</v>
      </c>
      <c r="O248" s="342">
        <f>IFERROR($I248*VLOOKUP($H248,食材表!$A:F,6,FALSE),0)+IFERROR($I249*VLOOKUP($H249,食材表!$A:F,6,FALSE),0)+IFERROR($I250*VLOOKUP($H250,食材表!$A:F,6,FALSE),0)+IFERROR($K248*VLOOKUP($J248,食材表!$A:F,6,FALSE),0)+IFERROR($K249*VLOOKUP($J249,食材表!$A:F,6,FALSE),0)+IFERROR($K250*VLOOKUP($J250,食材表!$A:F,6,FALSE),0)</f>
        <v>0.18000000000000002</v>
      </c>
      <c r="P248" s="342">
        <f>IFERROR($I248*VLOOKUP($H248,食材表!$A:G,7,FALSE),0)+IFERROR($I249*VLOOKUP($H249,食材表!$A:G,7,FALSE),0)+IFERROR($I250*VLOOKUP($H250,食材表!$A:G,7,FALSE),0)+IFERROR($K248*VLOOKUP($J248,食材表!$A:G,7,FALSE),0)+IFERROR($K249*VLOOKUP($J249,食材表!$A:G,7,FALSE),0)+IFERROR($K250*VLOOKUP($J250,食材表!$A:G,7,FALSE),0)</f>
        <v>0</v>
      </c>
      <c r="Q248" s="342">
        <f>IFERROR($I248*VLOOKUP($H248,食材表!$A:H,8,FALSE),0)+IFERROR($I249*VLOOKUP($H249,食材表!$A:H,8,FALSE),0)+IFERROR($I250*VLOOKUP($H250,食材表!$A:H,8,FALSE),0)+IFERROR($K248*VLOOKUP($J248,食材表!$A:H,8,FALSE),0)+IFERROR($K249*VLOOKUP($J249,食材表!$A:H,8,FALSE),0)+IFERROR($K250*VLOOKUP($J250,食材表!$A:H,8,FALSE),0)</f>
        <v>0.8</v>
      </c>
      <c r="R248" s="342">
        <f>IFERROR($I248*VLOOKUP($H248,食材表!$A:I,9,FALSE),0)+IFERROR($I249*VLOOKUP($H249,食材表!$A:I,9,FALSE),0)+IFERROR($I250*VLOOKUP($H250,食材表!$A:I,9,FALSE),0)+IFERROR($K248*VLOOKUP($J248,食材表!$A:I,9,FALSE),0)+IFERROR($K249*VLOOKUP($J249,食材表!$A:I,9,FALSE),0)+IFERROR($K250*VLOOKUP($J250,食材表!$A:I,9,FALSE),0)</f>
        <v>0</v>
      </c>
      <c r="S248" s="342">
        <f>SUM(L248*70+M248*75+N248*120+O248*25+P248*60+Q248*45+R248*4)</f>
        <v>88.411111111111111</v>
      </c>
    </row>
    <row r="249" spans="1:19">
      <c r="A249" s="33" t="str">
        <f>"2"&amp;+$B248</f>
        <v>2巧達濃湯</v>
      </c>
      <c r="B249" s="356"/>
      <c r="C249" s="50" t="s">
        <v>161</v>
      </c>
      <c r="D249" s="40">
        <v>0.7</v>
      </c>
      <c r="E249" s="27" t="s">
        <v>75</v>
      </c>
      <c r="F249" s="33">
        <v>0.2</v>
      </c>
      <c r="G249" s="353"/>
      <c r="H249" s="93" t="str">
        <f t="shared" ref="H249:H250" si="169">C249</f>
        <v>洋蔥</v>
      </c>
      <c r="I249" s="86">
        <f>IFERROR(IF(LEN(D249)=LENB(D249),ROUND(LEFT(D249,2*LEN(D249)-LENB(D249))/$A$1,3),((ROUND(LEFT(D249,2*LEN(D249)-LENB(D249))/$A$1,3))*VLOOKUP(H249,食材表!$A:$B,2,FALSE))),"")</f>
        <v>1.4E-2</v>
      </c>
      <c r="J249" s="93" t="str">
        <f t="shared" ref="J249:J250" si="170">E249</f>
        <v>紅蘿蔔</v>
      </c>
      <c r="K249" s="86">
        <f>IFERROR(IF(LEN(F249)=LENB(F249),ROUND(LEFT(F249,2*LEN(F249)-LENB(F249))/$A$1,3),((ROUND(LEFT(F249,2*LEN(F249)-LENB(F249))/$A$1,3))*VLOOKUP(J249,食材表!$A:$B,2,FALSE))),"")</f>
        <v>4.0000000000000001E-3</v>
      </c>
      <c r="L249" s="343"/>
      <c r="M249" s="343"/>
      <c r="N249" s="343"/>
      <c r="O249" s="343"/>
      <c r="P249" s="343"/>
      <c r="Q249" s="343"/>
      <c r="R249" s="343"/>
      <c r="S249" s="343"/>
    </row>
    <row r="250" spans="1:19">
      <c r="A250" s="33" t="str">
        <f>"3"&amp;+$B248</f>
        <v>3巧達濃湯</v>
      </c>
      <c r="B250" s="357"/>
      <c r="C250" s="28" t="s">
        <v>163</v>
      </c>
      <c r="D250" s="8">
        <v>2</v>
      </c>
      <c r="E250" s="29" t="s">
        <v>340</v>
      </c>
      <c r="F250" s="8">
        <v>0.6</v>
      </c>
      <c r="G250" s="354"/>
      <c r="H250" s="92" t="str">
        <f t="shared" si="169"/>
        <v>馬鈴薯</v>
      </c>
      <c r="I250" s="84">
        <f>IFERROR(IF(LEN(D250)=LENB(D250),ROUND(LEFT(D250,2*LEN(D250)-LENB(D250))/$A$1,3),((ROUND(LEFT(D250,2*LEN(D250)-LENB(D250))/$A$1,3))*VLOOKUP(H250,食材表!$A:$B,2,FALSE))),"")</f>
        <v>0.04</v>
      </c>
      <c r="J250" s="92" t="str">
        <f t="shared" si="170"/>
        <v>低筋麵粉</v>
      </c>
      <c r="K250" s="85">
        <f>IFERROR(IF(LEN(F250)=LENB(F250),ROUND(LEFT(F250,2*LEN(F250)-LENB(F250))/$A$1,3),((ROUND(LEFT(F250,2*LEN(F250)-LENB(F250))/$A$1,3))*VLOOKUP(J250,食材表!$A:$B,2,FALSE))),"")</f>
        <v>1.2E-2</v>
      </c>
      <c r="L250" s="344"/>
      <c r="M250" s="344"/>
      <c r="N250" s="344"/>
      <c r="O250" s="344"/>
      <c r="P250" s="344"/>
      <c r="Q250" s="344"/>
      <c r="R250" s="344"/>
      <c r="S250" s="344"/>
    </row>
    <row r="251" spans="1:19">
      <c r="A251" s="33" t="str">
        <f>"1"&amp;+$B251</f>
        <v>1菠菜吻魚羹</v>
      </c>
      <c r="B251" s="349" t="s">
        <v>1061</v>
      </c>
      <c r="C251" s="60" t="s">
        <v>1062</v>
      </c>
      <c r="D251" s="59">
        <v>0.6</v>
      </c>
      <c r="E251" s="60" t="s">
        <v>48</v>
      </c>
      <c r="F251" s="36">
        <v>0.6</v>
      </c>
      <c r="G251" s="352" t="str">
        <f>B251</f>
        <v>菠菜吻魚羹</v>
      </c>
      <c r="H251" s="91" t="str">
        <f>C251</f>
        <v>菠菜</v>
      </c>
      <c r="I251" s="83">
        <f>IFERROR(IF(LEN(D251)=LENB(D251),ROUND(LEFT(D251,2*LEN(D251)-LENB(D251))/$A$1,3),((ROUND(LEFT(D251,2*LEN(D251)-LENB(D251))/$A$1,3))*VLOOKUP(H251,食材表!$A:$B,2,FALSE))),"")</f>
        <v>1.2E-2</v>
      </c>
      <c r="J251" s="91" t="str">
        <f>E251</f>
        <v>雞蛋</v>
      </c>
      <c r="K251" s="83">
        <f>IFERROR(IF(LEN(F251)=LENB(F251),ROUND(LEFT(F251,2*LEN(F251)-LENB(F251))/$A$1,3),((ROUND(LEFT(F251,2*LEN(F251)-LENB(F251))/$A$1,3))*VLOOKUP(J251,食材表!$A:$B,2,FALSE))),"")</f>
        <v>1.2E-2</v>
      </c>
      <c r="L251" s="342">
        <f>IFERROR($I251*VLOOKUP($H251,食材表!$A:C,3,FALSE),0)+IFERROR($I252*VLOOKUP($H252,食材表!$A:C,3,FALSE),0)+IFERROR($I253*VLOOKUP($H253,食材表!$A:C,3,FALSE),0)+IFERROR($K251*VLOOKUP($J251,食材表!$A:C,3,FALSE),0)+IFERROR($K252*VLOOKUP($J252,食材表!$A:C,3,FALSE),0)+IFERROR($K253*VLOOKUP($J253,食材表!$A:C,3,FALSE),0)</f>
        <v>0.6</v>
      </c>
      <c r="M251" s="342">
        <f>IFERROR($I251*VLOOKUP($H251,食材表!$A:D,4,FALSE),0)+IFERROR($I252*VLOOKUP($H252,食材表!$A:D,4,FALSE),0)+IFERROR($I253*VLOOKUP($H253,食材表!$A:D,4,FALSE),0)+IFERROR($K251*VLOOKUP($J251,食材表!$A:D,4,FALSE),0)+IFERROR($K252*VLOOKUP($J252,食材表!$A:D,4,FALSE),0)+IFERROR($K253*VLOOKUP($J253,食材表!$A:D,4,FALSE),0)</f>
        <v>0.35604395604395606</v>
      </c>
      <c r="N251" s="342">
        <f>IFERROR($I251*VLOOKUP($H251,食材表!$A:E,5,FALSE),0)+IFERROR($I252*VLOOKUP($H252,食材表!$A:E,5,FALSE),0)+IFERROR($I253*VLOOKUP($H253,食材表!$A:E,5,FALSE),0)+IFERROR($K251*VLOOKUP($J251,食材表!$A:E,5,FALSE),0)+IFERROR($K252*VLOOKUP($J252,食材表!$A:E,5,FALSE),0)+IFERROR($K253*VLOOKUP($J253,食材表!$A:E,5,FALSE),0)</f>
        <v>0</v>
      </c>
      <c r="O251" s="342">
        <f>IFERROR($I251*VLOOKUP($H251,食材表!$A:F,6,FALSE),0)+IFERROR($I252*VLOOKUP($H252,食材表!$A:F,6,FALSE),0)+IFERROR($I253*VLOOKUP($H253,食材表!$A:F,6,FALSE),0)+IFERROR($K251*VLOOKUP($J251,食材表!$A:F,6,FALSE),0)+IFERROR($K252*VLOOKUP($J252,食材表!$A:F,6,FALSE),0)+IFERROR($K253*VLOOKUP($J253,食材表!$A:F,6,FALSE),0)</f>
        <v>0.16</v>
      </c>
      <c r="P251" s="342">
        <f>IFERROR($I251*VLOOKUP($H251,食材表!$A:G,7,FALSE),0)+IFERROR($I252*VLOOKUP($H252,食材表!$A:G,7,FALSE),0)+IFERROR($I253*VLOOKUP($H253,食材表!$A:G,7,FALSE),0)+IFERROR($K251*VLOOKUP($J251,食材表!$A:G,7,FALSE),0)+IFERROR($K252*VLOOKUP($J252,食材表!$A:G,7,FALSE),0)+IFERROR($K253*VLOOKUP($J253,食材表!$A:G,7,FALSE),0)</f>
        <v>0</v>
      </c>
      <c r="Q251" s="342">
        <f>IFERROR($I251*VLOOKUP($H251,食材表!$A:H,8,FALSE),0)+IFERROR($I252*VLOOKUP($H252,食材表!$A:H,8,FALSE),0)+IFERROR($I253*VLOOKUP($H253,食材表!$A:H,8,FALSE),0)+IFERROR($K251*VLOOKUP($J251,食材表!$A:H,8,FALSE),0)+IFERROR($K252*VLOOKUP($J252,食材表!$A:H,8,FALSE),0)+IFERROR($K253*VLOOKUP($J253,食材表!$A:H,8,FALSE),0)</f>
        <v>0</v>
      </c>
      <c r="R251" s="342">
        <f>IFERROR($I251*VLOOKUP($H251,食材表!$A:I,9,FALSE),0)+IFERROR($I252*VLOOKUP($H252,食材表!$A:I,9,FALSE),0)+IFERROR($I253*VLOOKUP($H253,食材表!$A:I,9,FALSE),0)+IFERROR($K251*VLOOKUP($J251,食材表!$A:I,9,FALSE),0)+IFERROR($K252*VLOOKUP($J252,食材表!$A:I,9,FALSE),0)+IFERROR($K253*VLOOKUP($J253,食材表!$A:I,9,FALSE),0)</f>
        <v>0</v>
      </c>
      <c r="S251" s="342">
        <f>SUM(L251*70+M251*75+N251*120+O251*25+P251*60+Q251*45+R251*4)</f>
        <v>72.703296703296701</v>
      </c>
    </row>
    <row r="252" spans="1:19">
      <c r="A252" s="33" t="str">
        <f>"2"&amp;+$B251</f>
        <v>2菠菜吻魚羹</v>
      </c>
      <c r="B252" s="350"/>
      <c r="C252" s="22" t="s">
        <v>338</v>
      </c>
      <c r="D252" s="36">
        <v>0.3</v>
      </c>
      <c r="E252" s="22" t="s">
        <v>85</v>
      </c>
      <c r="F252" s="36">
        <v>0.6</v>
      </c>
      <c r="G252" s="353"/>
      <c r="H252" s="93" t="str">
        <f t="shared" ref="H252:H253" si="171">C252</f>
        <v>吻仔魚</v>
      </c>
      <c r="I252" s="86">
        <f>IFERROR(IF(LEN(D252)=LENB(D252),ROUND(LEFT(D252,2*LEN(D252)-LENB(D252))/$A$1,3),((ROUND(LEFT(D252,2*LEN(D252)-LENB(D252))/$A$1,3))*VLOOKUP(H252,食材表!$A:$B,2,FALSE))),"")</f>
        <v>6.0000000000000001E-3</v>
      </c>
      <c r="J252" s="93" t="str">
        <f t="shared" ref="J252:J253" si="172">E252</f>
        <v>太白粉</v>
      </c>
      <c r="K252" s="86">
        <f>IFERROR(IF(LEN(F252)=LENB(F252),ROUND(LEFT(F252,2*LEN(F252)-LENB(F252))/$A$1,3),((ROUND(LEFT(F252,2*LEN(F252)-LENB(F252))/$A$1,3))*VLOOKUP(J252,食材表!$A:$B,2,FALSE))),"")</f>
        <v>1.2E-2</v>
      </c>
      <c r="L252" s="343"/>
      <c r="M252" s="343"/>
      <c r="N252" s="343"/>
      <c r="O252" s="343"/>
      <c r="P252" s="343"/>
      <c r="Q252" s="343"/>
      <c r="R252" s="343"/>
      <c r="S252" s="343"/>
    </row>
    <row r="253" spans="1:19">
      <c r="A253" s="33" t="str">
        <f>"3"&amp;+$B251</f>
        <v>3菠菜吻魚羹</v>
      </c>
      <c r="B253" s="351"/>
      <c r="C253" s="26" t="s">
        <v>160</v>
      </c>
      <c r="D253" s="37">
        <v>0.2</v>
      </c>
      <c r="E253" s="26"/>
      <c r="F253" s="37"/>
      <c r="G253" s="354"/>
      <c r="H253" s="92" t="str">
        <f t="shared" si="171"/>
        <v>胡蘿蔔</v>
      </c>
      <c r="I253" s="84">
        <f>IFERROR(IF(LEN(D253)=LENB(D253),ROUND(LEFT(D253,2*LEN(D253)-LENB(D253))/$A$1,3),((ROUND(LEFT(D253,2*LEN(D253)-LENB(D253))/$A$1,3))*VLOOKUP(H253,食材表!$A:$B,2,FALSE))),"")</f>
        <v>4.0000000000000001E-3</v>
      </c>
      <c r="J253" s="92">
        <f t="shared" si="172"/>
        <v>0</v>
      </c>
      <c r="K253" s="85" t="str">
        <f>IFERROR(IF(LEN(F253)=LENB(F253),ROUND(LEFT(F253,2*LEN(F253)-LENB(F253))/$A$1,3),((ROUND(LEFT(F253,2*LEN(F253)-LENB(F253))/$A$1,3))*VLOOKUP(J253,食材表!$A:$B,2,FALSE))),"")</f>
        <v/>
      </c>
      <c r="L253" s="344"/>
      <c r="M253" s="344"/>
      <c r="N253" s="344"/>
      <c r="O253" s="344"/>
      <c r="P253" s="344"/>
      <c r="Q253" s="344"/>
      <c r="R253" s="344"/>
      <c r="S253" s="344"/>
    </row>
    <row r="254" spans="1:19">
      <c r="A254" s="33" t="str">
        <f>"1"&amp;+$B254</f>
        <v>1什錦豆腐羹</v>
      </c>
      <c r="B254" s="349" t="s">
        <v>56</v>
      </c>
      <c r="C254" s="60" t="s">
        <v>79</v>
      </c>
      <c r="D254" s="59">
        <v>1</v>
      </c>
      <c r="E254" s="60" t="s">
        <v>84</v>
      </c>
      <c r="F254" s="36">
        <v>0.5</v>
      </c>
      <c r="G254" s="374" t="str">
        <f>B254</f>
        <v>什錦豆腐羹</v>
      </c>
      <c r="H254" s="91" t="str">
        <f>C254</f>
        <v>嫩豆腐</v>
      </c>
      <c r="I254" s="83">
        <f>IFERROR(IF(LEN(D254)=LENB(D254),ROUND(LEFT(D254,2*LEN(D254)-LENB(D254))/$A$1,3),((ROUND(LEFT(D254,2*LEN(D254)-LENB(D254))/$A$1,3))*VLOOKUP(H254,食材表!$A:$B,2,FALSE))),"")</f>
        <v>0.02</v>
      </c>
      <c r="J254" s="91" t="str">
        <f>E254</f>
        <v>魚板</v>
      </c>
      <c r="K254" s="83">
        <f>IFERROR(IF(LEN(F254)=LENB(F254),ROUND(LEFT(F254,2*LEN(F254)-LENB(F254))/$A$1,3),((ROUND(LEFT(F254,2*LEN(F254)-LENB(F254))/$A$1,3))*VLOOKUP(J254,食材表!$A:$B,2,FALSE))),"")</f>
        <v>0.01</v>
      </c>
      <c r="L254" s="342">
        <f>IFERROR($I254*VLOOKUP($H254,食材表!$A:C,3,FALSE),0)+IFERROR($I255*VLOOKUP($H255,食材表!$A:C,3,FALSE),0)+IFERROR($I256*VLOOKUP($H256,食材表!$A:C,3,FALSE),0)+IFERROR($K254*VLOOKUP($J254,食材表!$A:C,3,FALSE),0)+IFERROR($K255*VLOOKUP($J255,食材表!$A:C,3,FALSE),0)+IFERROR($K256*VLOOKUP($J256,食材表!$A:C,3,FALSE),0)</f>
        <v>0</v>
      </c>
      <c r="M254" s="342">
        <f>IFERROR($I254*VLOOKUP($H254,食材表!$A:D,4,FALSE),0)+IFERROR($I255*VLOOKUP($H255,食材表!$A:D,4,FALSE),0)+IFERROR($I256*VLOOKUP($H256,食材表!$A:D,4,FALSE),0)+IFERROR($K254*VLOOKUP($J254,食材表!$A:D,4,FALSE),0)+IFERROR($K255*VLOOKUP($J255,食材表!$A:D,4,FALSE),0)+IFERROR($K256*VLOOKUP($J256,食材表!$A:D,4,FALSE),0)</f>
        <v>0.3928571428571429</v>
      </c>
      <c r="N254" s="342">
        <f>IFERROR($I254*VLOOKUP($H254,食材表!$A:E,5,FALSE),0)+IFERROR($I255*VLOOKUP($H255,食材表!$A:E,5,FALSE),0)+IFERROR($I256*VLOOKUP($H256,食材表!$A:E,5,FALSE),0)+IFERROR($K254*VLOOKUP($J254,食材表!$A:E,5,FALSE),0)+IFERROR($K255*VLOOKUP($J255,食材表!$A:E,5,FALSE),0)+IFERROR($K256*VLOOKUP($J256,食材表!$A:E,5,FALSE),0)</f>
        <v>0</v>
      </c>
      <c r="O254" s="342">
        <f>IFERROR($I254*VLOOKUP($H254,食材表!$A:F,6,FALSE),0)+IFERROR($I255*VLOOKUP($H255,食材表!$A:F,6,FALSE),0)+IFERROR($I256*VLOOKUP($H256,食材表!$A:F,6,FALSE),0)+IFERROR($K254*VLOOKUP($J254,食材表!$A:F,6,FALSE),0)+IFERROR($K255*VLOOKUP($J255,食材表!$A:F,6,FALSE),0)+IFERROR($K256*VLOOKUP($J256,食材表!$A:F,6,FALSE),0)</f>
        <v>0.16</v>
      </c>
      <c r="P254" s="342">
        <f>IFERROR($I254*VLOOKUP($H254,食材表!$A:G,7,FALSE),0)+IFERROR($I255*VLOOKUP($H255,食材表!$A:G,7,FALSE),0)+IFERROR($I256*VLOOKUP($H256,食材表!$A:G,7,FALSE),0)+IFERROR($K254*VLOOKUP($J254,食材表!$A:G,7,FALSE),0)+IFERROR($K255*VLOOKUP($J255,食材表!$A:G,7,FALSE),0)+IFERROR($K256*VLOOKUP($J256,食材表!$A:G,7,FALSE),0)</f>
        <v>0</v>
      </c>
      <c r="Q254" s="342">
        <f>IFERROR($I254*VLOOKUP($H254,食材表!$A:H,8,FALSE),0)+IFERROR($I255*VLOOKUP($H255,食材表!$A:H,8,FALSE),0)+IFERROR($I256*VLOOKUP($H256,食材表!$A:H,8,FALSE),0)+IFERROR($K254*VLOOKUP($J254,食材表!$A:H,8,FALSE),0)+IFERROR($K255*VLOOKUP($J255,食材表!$A:H,8,FALSE),0)+IFERROR($K256*VLOOKUP($J256,食材表!$A:H,8,FALSE),0)</f>
        <v>0</v>
      </c>
      <c r="R254" s="342">
        <f>IFERROR($I254*VLOOKUP($H254,食材表!$A:I,9,FALSE),0)+IFERROR($I255*VLOOKUP($H255,食材表!$A:I,9,FALSE),0)+IFERROR($I256*VLOOKUP($H256,食材表!$A:I,9,FALSE),0)+IFERROR($K254*VLOOKUP($J254,食材表!$A:I,9,FALSE),0)+IFERROR($K255*VLOOKUP($J255,食材表!$A:I,9,FALSE),0)+IFERROR($K256*VLOOKUP($J256,食材表!$A:I,9,FALSE),0)</f>
        <v>0</v>
      </c>
      <c r="S254" s="342">
        <f>SUM(L254*70+M254*75+N254*120+O254*25+P254*60+Q254*45+R254*4)</f>
        <v>33.464285714285722</v>
      </c>
    </row>
    <row r="255" spans="1:19">
      <c r="A255" s="33" t="str">
        <f>"2"&amp;+$B254</f>
        <v>2什錦豆腐羹</v>
      </c>
      <c r="B255" s="350"/>
      <c r="C255" s="22" t="s">
        <v>82</v>
      </c>
      <c r="D255" s="36">
        <v>2</v>
      </c>
      <c r="E255" s="22" t="s">
        <v>83</v>
      </c>
      <c r="F255" s="36">
        <v>0.3</v>
      </c>
      <c r="G255" s="375"/>
      <c r="H255" s="93" t="str">
        <f t="shared" ref="H255:H256" si="173">C255</f>
        <v>大白菜</v>
      </c>
      <c r="I255" s="86">
        <f>(2*IFERROR(MID(D255,FIND("2L*",D255)+3,1),0)+1*IFERROR(MID(D255,FIND("1L*",D255)+3,2),0))/$A$1</f>
        <v>0</v>
      </c>
      <c r="J255" s="93" t="str">
        <f t="shared" ref="J255:J256" si="174">E255</f>
        <v>木耳</v>
      </c>
      <c r="K255" s="86">
        <f>IFERROR(IF(LEN(F255)=LENB(F255),ROUND(LEFT(F255,2*LEN(F255)-LENB(F255))/$A$1,3),((ROUND(LEFT(F255,2*LEN(F255)-LENB(F255))/$A$1,3))*VLOOKUP(J255,食材表!$A:$B,2,FALSE))),"")</f>
        <v>6.0000000000000001E-3</v>
      </c>
      <c r="L255" s="343"/>
      <c r="M255" s="343"/>
      <c r="N255" s="343"/>
      <c r="O255" s="343"/>
      <c r="P255" s="343"/>
      <c r="Q255" s="343"/>
      <c r="R255" s="343"/>
      <c r="S255" s="343"/>
    </row>
    <row r="256" spans="1:19">
      <c r="A256" s="33" t="str">
        <f>"3"&amp;+$B254</f>
        <v>3什錦豆腐羹</v>
      </c>
      <c r="B256" s="351"/>
      <c r="C256" s="26" t="s">
        <v>80</v>
      </c>
      <c r="D256" s="37">
        <v>0.5</v>
      </c>
      <c r="E256" s="26"/>
      <c r="F256" s="37"/>
      <c r="G256" s="376"/>
      <c r="H256" s="92" t="str">
        <f t="shared" si="173"/>
        <v>金針菇</v>
      </c>
      <c r="I256" s="84">
        <f>IFERROR(IF(LEN(D256)=LENB(D256),ROUND(LEFT(D256,2*LEN(D256)-LENB(D256))/$A$1,3),((ROUND(LEFT(D256,2*LEN(D256)-LENB(D256))/$A$1,3))*VLOOKUP(H256,食材表!$A:$B,2,FALSE))),"")</f>
        <v>0.01</v>
      </c>
      <c r="J256" s="92">
        <f t="shared" si="174"/>
        <v>0</v>
      </c>
      <c r="K256" s="85" t="str">
        <f>IFERROR(IF(LEN(F256)=LENB(F256),ROUND(LEFT(F256,2*LEN(F256)-LENB(F256))/$A$1,3),((ROUND(LEFT(F256,2*LEN(F256)-LENB(F256))/$A$1,3))*VLOOKUP(J256,食材表!$A:$B,2,FALSE))),"")</f>
        <v/>
      </c>
      <c r="L256" s="344"/>
      <c r="M256" s="344"/>
      <c r="N256" s="344"/>
      <c r="O256" s="344"/>
      <c r="P256" s="344"/>
      <c r="Q256" s="344"/>
      <c r="R256" s="344"/>
      <c r="S256" s="344"/>
    </row>
    <row r="257" spans="1:19">
      <c r="A257" s="33" t="str">
        <f>"1"&amp;+$B257</f>
        <v>1白菜豆腐羹</v>
      </c>
      <c r="B257" s="349" t="s">
        <v>1076</v>
      </c>
      <c r="C257" s="90" t="s">
        <v>82</v>
      </c>
      <c r="D257" s="59">
        <v>2</v>
      </c>
      <c r="E257" s="60" t="s">
        <v>100</v>
      </c>
      <c r="F257" s="59">
        <v>1.2</v>
      </c>
      <c r="G257" s="352" t="str">
        <f t="shared" ref="G257" si="175">B257</f>
        <v>白菜豆腐羹</v>
      </c>
      <c r="H257" s="91" t="str">
        <f t="shared" ref="H257:H266" si="176">C257</f>
        <v>大白菜</v>
      </c>
      <c r="I257" s="83">
        <f>IFERROR(IF(LEN(D257)=LENB(D257),ROUND(LEFT(D257,2*LEN(D257)-LENB(D257))/$A$1,3),((ROUND(LEFT(D257,2*LEN(D257)-LENB(D257))/$A$1,3))*VLOOKUP(H257,食材表!$A:$B,2,FALSE))),"")</f>
        <v>0.04</v>
      </c>
      <c r="J257" s="91" t="str">
        <f t="shared" ref="J257:J266" si="177">E257</f>
        <v>板豆腐</v>
      </c>
      <c r="K257" s="83">
        <f>IFERROR(IF(LEN(F257)=LENB(F257),ROUND(LEFT(F257,2*LEN(F257)-LENB(F257))/$A$1,3),((ROUND(LEFT(F257,2*LEN(F257)-LENB(F257))/$A$1,3))*VLOOKUP(J257,食材表!$A:$B,2,FALSE))),"")</f>
        <v>2.4E-2</v>
      </c>
      <c r="L257" s="342">
        <f>IFERROR($I257*VLOOKUP($H257,食材表!$A:C,3,FALSE),0)+IFERROR($I258*VLOOKUP($H258,食材表!$A:C,3,FALSE),0)+IFERROR($I259*VLOOKUP($H259,食材表!$A:C,3,FALSE),0)+IFERROR($K257*VLOOKUP($J257,食材表!$A:C,3,FALSE),0)+IFERROR($K258*VLOOKUP($J258,食材表!$A:C,3,FALSE),0)+IFERROR($K259*VLOOKUP($J259,食材表!$A:C,3,FALSE),0)</f>
        <v>0.6</v>
      </c>
      <c r="M257" s="342">
        <f>IFERROR($I257*VLOOKUP($H257,食材表!$A:D,4,FALSE),0)+IFERROR($I258*VLOOKUP($H258,食材表!$A:D,4,FALSE),0)+IFERROR($I259*VLOOKUP($H259,食材表!$A:D,4,FALSE),0)+IFERROR($K257*VLOOKUP($J257,食材表!$A:D,4,FALSE),0)+IFERROR($K258*VLOOKUP($J258,食材表!$A:D,4,FALSE),0)+IFERROR($K259*VLOOKUP($J259,食材表!$A:D,4,FALSE),0)</f>
        <v>0.3</v>
      </c>
      <c r="N257" s="342">
        <f>IFERROR($I257*VLOOKUP($H257,食材表!$A:E,5,FALSE),0)+IFERROR($I258*VLOOKUP($H258,食材表!$A:E,5,FALSE),0)+IFERROR($I259*VLOOKUP($H259,食材表!$A:E,5,FALSE),0)+IFERROR($K257*VLOOKUP($J257,食材表!$A:E,5,FALSE),0)+IFERROR($K258*VLOOKUP($J258,食材表!$A:E,5,FALSE),0)+IFERROR($K259*VLOOKUP($J259,食材表!$A:E,5,FALSE),0)</f>
        <v>0</v>
      </c>
      <c r="O257" s="342">
        <f>IFERROR($I257*VLOOKUP($H257,食材表!$A:F,6,FALSE),0)+IFERROR($I258*VLOOKUP($H258,食材表!$A:F,6,FALSE),0)+IFERROR($I259*VLOOKUP($H259,食材表!$A:F,6,FALSE),0)+IFERROR($K257*VLOOKUP($J257,食材表!$A:F,6,FALSE),0)+IFERROR($K258*VLOOKUP($J258,食材表!$A:F,6,FALSE),0)+IFERROR($K259*VLOOKUP($J259,食材表!$A:F,6,FALSE),0)</f>
        <v>0.2</v>
      </c>
      <c r="P257" s="342">
        <f>IFERROR($I257*VLOOKUP($H257,食材表!$A:G,7,FALSE),0)+IFERROR($I258*VLOOKUP($H258,食材表!$A:G,7,FALSE),0)+IFERROR($I259*VLOOKUP($H259,食材表!$A:G,7,FALSE),0)+IFERROR($K257*VLOOKUP($J257,食材表!$A:G,7,FALSE),0)+IFERROR($K258*VLOOKUP($J258,食材表!$A:G,7,FALSE),0)+IFERROR($K259*VLOOKUP($J259,食材表!$A:G,7,FALSE),0)</f>
        <v>0</v>
      </c>
      <c r="Q257" s="342">
        <f>IFERROR($I257*VLOOKUP($H257,食材表!$A:H,8,FALSE),0)+IFERROR($I258*VLOOKUP($H258,食材表!$A:H,8,FALSE),0)+IFERROR($I259*VLOOKUP($H259,食材表!$A:H,8,FALSE),0)+IFERROR($K257*VLOOKUP($J257,食材表!$A:H,8,FALSE),0)+IFERROR($K258*VLOOKUP($J258,食材表!$A:H,8,FALSE),0)+IFERROR($K259*VLOOKUP($J259,食材表!$A:H,8,FALSE),0)</f>
        <v>0</v>
      </c>
      <c r="R257" s="342">
        <f>IFERROR($I257*VLOOKUP($H257,食材表!$A:I,9,FALSE),0)+IFERROR($I258*VLOOKUP($H258,食材表!$A:I,9,FALSE),0)+IFERROR($I259*VLOOKUP($H259,食材表!$A:I,9,FALSE),0)+IFERROR($K257*VLOOKUP($J257,食材表!$A:I,9,FALSE),0)+IFERROR($K258*VLOOKUP($J258,食材表!$A:I,9,FALSE),0)+IFERROR($K259*VLOOKUP($J259,食材表!$A:I,9,FALSE),0)</f>
        <v>0</v>
      </c>
      <c r="S257" s="342">
        <f t="shared" ref="S257" si="178">SUM(L257*70+M257*75+N257*120+O257*25+P257*60+Q257*45+R257*4)</f>
        <v>69.5</v>
      </c>
    </row>
    <row r="258" spans="1:19">
      <c r="A258" s="33" t="str">
        <f>"2"&amp;+$B257</f>
        <v>2白菜豆腐羹</v>
      </c>
      <c r="B258" s="350"/>
      <c r="C258" s="22" t="s">
        <v>160</v>
      </c>
      <c r="D258" s="36">
        <v>0.5</v>
      </c>
      <c r="E258" s="22" t="s">
        <v>85</v>
      </c>
      <c r="F258" s="36">
        <v>0.6</v>
      </c>
      <c r="G258" s="353"/>
      <c r="H258" s="93" t="str">
        <f t="shared" si="176"/>
        <v>胡蘿蔔</v>
      </c>
      <c r="I258" s="86">
        <f>IFERROR(IF(LEN(D258)=LENB(D258),ROUND(LEFT(D258,2*LEN(D258)-LENB(D258))/$A$1,3),((ROUND(LEFT(D258,2*LEN(D258)-LENB(D258))/$A$1,3))*VLOOKUP(H258,食材表!$A:$B,2,FALSE))),"")</f>
        <v>0.01</v>
      </c>
      <c r="J258" s="93" t="str">
        <f t="shared" si="177"/>
        <v>太白粉</v>
      </c>
      <c r="K258" s="86">
        <f>IFERROR(IF(LEN(F258)=LENB(F258),ROUND(LEFT(F258,2*LEN(F258)-LENB(F258))/$A$1,3),((ROUND(LEFT(F258,2*LEN(F258)-LENB(F258))/$A$1,3))*VLOOKUP(J258,食材表!$A:$B,2,FALSE))),"")</f>
        <v>1.2E-2</v>
      </c>
      <c r="L258" s="343"/>
      <c r="M258" s="343"/>
      <c r="N258" s="343"/>
      <c r="O258" s="343"/>
      <c r="P258" s="343"/>
      <c r="Q258" s="343"/>
      <c r="R258" s="343"/>
      <c r="S258" s="343"/>
    </row>
    <row r="259" spans="1:19">
      <c r="A259" s="33" t="str">
        <f>"3"&amp;+$B257</f>
        <v>3白菜豆腐羹</v>
      </c>
      <c r="B259" s="351"/>
      <c r="C259" s="26" t="s">
        <v>365</v>
      </c>
      <c r="D259" s="37">
        <v>0.5</v>
      </c>
      <c r="E259" s="26" t="s">
        <v>53</v>
      </c>
      <c r="F259" s="37" t="s">
        <v>955</v>
      </c>
      <c r="G259" s="354"/>
      <c r="H259" s="92" t="str">
        <f t="shared" si="176"/>
        <v>筍籤</v>
      </c>
      <c r="I259" s="84">
        <f>IFERROR(IF(LEN(D259)=LENB(D259),ROUND(LEFT(D259,2*LEN(D259)-LENB(D259))/$A$1,3),((ROUND(LEFT(D259,2*LEN(D259)-LENB(D259))/$A$1,3))*VLOOKUP(H259,食材表!$A:$B,2,FALSE))),"")</f>
        <v>0.01</v>
      </c>
      <c r="J259" s="92" t="str">
        <f t="shared" si="177"/>
        <v>柴魚片</v>
      </c>
      <c r="K259" s="85">
        <f>IFERROR(IF(LEN(F259)=LENB(F259),ROUND(LEFT(F259,2*LEN(F259)-LENB(F259))/$A$1,3),((ROUND(LEFT(F259,2*LEN(F259)-LENB(F259))/$A$1,3))*VLOOKUP(J259,食材表!$A:$B,2,FALSE))),"")</f>
        <v>1.2E-2</v>
      </c>
      <c r="L259" s="344"/>
      <c r="M259" s="344"/>
      <c r="N259" s="344"/>
      <c r="O259" s="344"/>
      <c r="P259" s="344"/>
      <c r="Q259" s="344"/>
      <c r="R259" s="344"/>
      <c r="S259" s="344"/>
    </row>
    <row r="260" spans="1:19">
      <c r="A260" s="33" t="str">
        <f>"1"&amp;+$B260</f>
        <v>1酸白菜豬肉湯</v>
      </c>
      <c r="B260" s="350" t="s">
        <v>451</v>
      </c>
      <c r="C260" s="60" t="s">
        <v>452</v>
      </c>
      <c r="D260" s="59">
        <v>1</v>
      </c>
      <c r="E260" s="22"/>
      <c r="F260" s="66"/>
      <c r="G260" s="352" t="str">
        <f>B260</f>
        <v>酸白菜豬肉湯</v>
      </c>
      <c r="H260" s="91" t="str">
        <f t="shared" si="176"/>
        <v>酸白菜</v>
      </c>
      <c r="I260" s="83">
        <f>IFERROR(IF(LEN(D260)=LENB(D260),ROUND(LEFT(D260,2*LEN(D260)-LENB(D260))/$A$1,3),((ROUND(LEFT(D260,2*LEN(D260)-LENB(D260))/$A$1,3))*VLOOKUP(H260,食材表!$A:$B,2,FALSE))),"")</f>
        <v>0.02</v>
      </c>
      <c r="J260" s="91">
        <f t="shared" si="177"/>
        <v>0</v>
      </c>
      <c r="K260" s="83" t="str">
        <f>IFERROR(IF(LEN(F260)=LENB(F260),ROUND(LEFT(F260,2*LEN(F260)-LENB(F260))/$A$1,3),((ROUND(LEFT(F260,2*LEN(F260)-LENB(F260))/$A$1,3))*VLOOKUP(J260,食材表!$A:$B,2,FALSE))),"")</f>
        <v/>
      </c>
      <c r="L260" s="342">
        <f>IFERROR($I260*VLOOKUP($H260,食材表!$A:C,3,FALSE),0)+IFERROR($I261*VLOOKUP($H261,食材表!$A:C,3,FALSE),0)+IFERROR($I262*VLOOKUP($H262,食材表!$A:C,3,FALSE),0)+IFERROR($K260*VLOOKUP($J260,食材表!$A:C,3,FALSE),0)+IFERROR($K261*VLOOKUP($J261,食材表!$A:C,3,FALSE),0)+IFERROR($K262*VLOOKUP($J262,食材表!$A:C,3,FALSE),0)</f>
        <v>0</v>
      </c>
      <c r="M260" s="342">
        <f>IFERROR($I260*VLOOKUP($H260,食材表!$A:D,4,FALSE),0)+IFERROR($I261*VLOOKUP($H261,食材表!$A:D,4,FALSE),0)+IFERROR($I262*VLOOKUP($H262,食材表!$A:D,4,FALSE),0)+IFERROR($K260*VLOOKUP($J260,食材表!$A:D,4,FALSE),0)+IFERROR($K261*VLOOKUP($J261,食材表!$A:D,4,FALSE),0)+IFERROR($K262*VLOOKUP($J262,食材表!$A:D,4,FALSE),0)</f>
        <v>0.34285714285714286</v>
      </c>
      <c r="N260" s="342">
        <f>IFERROR($I260*VLOOKUP($H260,食材表!$A:E,5,FALSE),0)+IFERROR($I261*VLOOKUP($H261,食材表!$A:E,5,FALSE),0)+IFERROR($I262*VLOOKUP($H262,食材表!$A:E,5,FALSE),0)+IFERROR($K260*VLOOKUP($J260,食材表!$A:E,5,FALSE),0)+IFERROR($K261*VLOOKUP($J261,食材表!$A:E,5,FALSE),0)+IFERROR($K262*VLOOKUP($J262,食材表!$A:E,5,FALSE),0)</f>
        <v>0</v>
      </c>
      <c r="O260" s="342">
        <f>IFERROR($I260*VLOOKUP($H260,食材表!$A:F,6,FALSE),0)+IFERROR($I261*VLOOKUP($H261,食材表!$A:F,6,FALSE),0)+IFERROR($I262*VLOOKUP($H262,食材表!$A:F,6,FALSE),0)+IFERROR($K260*VLOOKUP($J260,食材表!$A:F,6,FALSE),0)+IFERROR($K261*VLOOKUP($J261,食材表!$A:F,6,FALSE),0)+IFERROR($K262*VLOOKUP($J262,食材表!$A:F,6,FALSE),0)</f>
        <v>0.22</v>
      </c>
      <c r="P260" s="342">
        <f>IFERROR($I260*VLOOKUP($H260,食材表!$A:G,7,FALSE),0)+IFERROR($I261*VLOOKUP($H261,食材表!$A:G,7,FALSE),0)+IFERROR($I262*VLOOKUP($H262,食材表!$A:G,7,FALSE),0)+IFERROR($K260*VLOOKUP($J260,食材表!$A:G,7,FALSE),0)+IFERROR($K261*VLOOKUP($J261,食材表!$A:G,7,FALSE),0)+IFERROR($K262*VLOOKUP($J262,食材表!$A:G,7,FALSE),0)</f>
        <v>0</v>
      </c>
      <c r="Q260" s="342">
        <f>IFERROR($I260*VLOOKUP($H260,食材表!$A:H,8,FALSE),0)+IFERROR($I261*VLOOKUP($H261,食材表!$A:H,8,FALSE),0)+IFERROR($I262*VLOOKUP($H262,食材表!$A:H,8,FALSE),0)+IFERROR($K260*VLOOKUP($J260,食材表!$A:H,8,FALSE),0)+IFERROR($K261*VLOOKUP($J261,食材表!$A:H,8,FALSE),0)+IFERROR($K262*VLOOKUP($J262,食材表!$A:H,8,FALSE),0)</f>
        <v>0</v>
      </c>
      <c r="R260" s="342">
        <f>IFERROR($I260*VLOOKUP($H260,食材表!$A:I,9,FALSE),0)+IFERROR($I261*VLOOKUP($H261,食材表!$A:I,9,FALSE),0)+IFERROR($I262*VLOOKUP($H262,食材表!$A:I,9,FALSE),0)+IFERROR($K260*VLOOKUP($J260,食材表!$A:I,9,FALSE),0)+IFERROR($K261*VLOOKUP($J261,食材表!$A:I,9,FALSE),0)+IFERROR($K262*VLOOKUP($J262,食材表!$A:I,9,FALSE),0)</f>
        <v>0</v>
      </c>
      <c r="S260" s="342">
        <f t="shared" ref="S260" si="179">SUM(L260*70+M260*75+N260*120+O260*25+P260*60+Q260*45+R260*4)</f>
        <v>31.214285714285715</v>
      </c>
    </row>
    <row r="261" spans="1:19">
      <c r="A261" s="33" t="str">
        <f>"2"&amp;+$B260</f>
        <v>2酸白菜豬肉湯</v>
      </c>
      <c r="B261" s="383"/>
      <c r="C261" s="45" t="s">
        <v>188</v>
      </c>
      <c r="D261" s="46">
        <v>0.6</v>
      </c>
      <c r="E261" s="100"/>
      <c r="F261" s="66"/>
      <c r="G261" s="353"/>
      <c r="H261" s="93" t="str">
        <f t="shared" si="176"/>
        <v>豬肉片</v>
      </c>
      <c r="I261" s="86">
        <f>IFERROR(IF(LEN(D261)=LENB(D261),ROUND(LEFT(D261,2*LEN(D261)-LENB(D261))/$A$1,3),((ROUND(LEFT(D261,2*LEN(D261)-LENB(D261))/$A$1,3))*VLOOKUP(H261,食材表!$A:$B,2,FALSE))),"")</f>
        <v>1.2E-2</v>
      </c>
      <c r="J261" s="93">
        <f t="shared" si="177"/>
        <v>0</v>
      </c>
      <c r="K261" s="86" t="str">
        <f>IFERROR(IF(LEN(F261)=LENB(F261),ROUND(LEFT(F261,2*LEN(F261)-LENB(F261))/$A$1,3),((ROUND(LEFT(F261,2*LEN(F261)-LENB(F261))/$A$1,3))*VLOOKUP(J261,食材表!$A:$B,2,FALSE))),"")</f>
        <v/>
      </c>
      <c r="L261" s="343"/>
      <c r="M261" s="343"/>
      <c r="N261" s="343"/>
      <c r="O261" s="343"/>
      <c r="P261" s="343"/>
      <c r="Q261" s="343"/>
      <c r="R261" s="343"/>
      <c r="S261" s="343"/>
    </row>
    <row r="262" spans="1:19">
      <c r="A262" s="33" t="str">
        <f>"3"&amp;+$B260</f>
        <v>3酸白菜豬肉湯</v>
      </c>
      <c r="B262" s="351"/>
      <c r="C262" s="26" t="s">
        <v>276</v>
      </c>
      <c r="D262" s="36">
        <v>0.1</v>
      </c>
      <c r="E262" s="26"/>
      <c r="F262" s="47"/>
      <c r="G262" s="354"/>
      <c r="H262" s="92" t="str">
        <f t="shared" si="176"/>
        <v>嫩薑絲</v>
      </c>
      <c r="I262" s="84">
        <f>IFERROR(IF(LEN(D262)=LENB(D262),ROUND(LEFT(D262,2*LEN(D262)-LENB(D262))/$A$1,3),((ROUND(LEFT(D262,2*LEN(D262)-LENB(D262))/$A$1,3))*VLOOKUP(H262,食材表!$A:$B,2,FALSE))),"")</f>
        <v>2E-3</v>
      </c>
      <c r="J262" s="92">
        <f t="shared" si="177"/>
        <v>0</v>
      </c>
      <c r="K262" s="85" t="str">
        <f>IFERROR(IF(LEN(F262)=LENB(F262),ROUND(LEFT(F262,2*LEN(F262)-LENB(F262))/$A$1,3),((ROUND(LEFT(F262,2*LEN(F262)-LENB(F262))/$A$1,3))*VLOOKUP(J262,食材表!$A:$B,2,FALSE))),"")</f>
        <v/>
      </c>
      <c r="L262" s="344"/>
      <c r="M262" s="344"/>
      <c r="N262" s="344"/>
      <c r="O262" s="344"/>
      <c r="P262" s="344"/>
      <c r="Q262" s="344"/>
      <c r="R262" s="344"/>
      <c r="S262" s="344"/>
    </row>
    <row r="263" spans="1:19">
      <c r="A263" s="33" t="str">
        <f>"1"&amp;+$B263</f>
        <v>1紫菜蛋花湯</v>
      </c>
      <c r="B263" s="355" t="s">
        <v>1208</v>
      </c>
      <c r="C263" s="55" t="s">
        <v>943</v>
      </c>
      <c r="D263" s="56">
        <v>0.1</v>
      </c>
      <c r="E263" s="55"/>
      <c r="F263" s="33"/>
      <c r="G263" s="346" t="str">
        <f>B263</f>
        <v>紫菜蛋花湯</v>
      </c>
      <c r="H263" s="91" t="str">
        <f t="shared" ref="H263:H265" si="180">C263</f>
        <v>紫菜</v>
      </c>
      <c r="I263" s="83">
        <f>IFERROR(IF(LEN(D263)=LENB(D263),ROUND(LEFT(D263,2*LEN(D263)-LENB(D263))/$A$1,3),((ROUND(LEFT(D263,2*LEN(D263)-LENB(D263))/$A$1,3))*VLOOKUP(H263,食材表!$A:$B,2,FALSE))),"")</f>
        <v>2E-3</v>
      </c>
      <c r="J263" s="91">
        <f t="shared" ref="J263:J265" si="181">E263</f>
        <v>0</v>
      </c>
      <c r="K263" s="83" t="str">
        <f>IFERROR(IF(LEN(F263)=LENB(F263),ROUND(LEFT(F263,2*LEN(F263)-LENB(F263))/$A$1,3),((ROUND(LEFT(F263,2*LEN(F263)-LENB(F263))/$A$1,3))*VLOOKUP(J263,食材表!$A:$B,2,FALSE))),"")</f>
        <v/>
      </c>
      <c r="L263" s="342">
        <f>IFERROR($I263*VLOOKUP($H263,食材表!$A:C,3,FALSE),0)+IFERROR($I264*VLOOKUP($H264,食材表!$A:C,3,FALSE),0)+IFERROR($I265*VLOOKUP($H265,食材表!$A:C,3,FALSE),0)+IFERROR($K263*VLOOKUP($J263,食材表!$A:C,3,FALSE),0)+IFERROR($K264*VLOOKUP($J264,食材表!$A:C,3,FALSE),0)+IFERROR($K265*VLOOKUP($J265,食材表!$A:C,3,FALSE),0)</f>
        <v>0</v>
      </c>
      <c r="M263" s="342">
        <f>IFERROR($I263*VLOOKUP($H263,食材表!$A:D,4,FALSE),0)+IFERROR($I264*VLOOKUP($H264,食材表!$A:D,4,FALSE),0)+IFERROR($I265*VLOOKUP($H265,食材表!$A:D,4,FALSE),0)+IFERROR($K263*VLOOKUP($J263,食材表!$A:D,4,FALSE),0)+IFERROR($K264*VLOOKUP($J264,食材表!$A:D,4,FALSE),0)+IFERROR($K265*VLOOKUP($J265,食材表!$A:D,4,FALSE),0)</f>
        <v>0.18461538461538463</v>
      </c>
      <c r="N263" s="342">
        <f>IFERROR($I263*VLOOKUP($H263,食材表!$A:E,5,FALSE),0)+IFERROR($I264*VLOOKUP($H264,食材表!$A:E,5,FALSE),0)+IFERROR($I265*VLOOKUP($H265,食材表!$A:E,5,FALSE),0)+IFERROR($K263*VLOOKUP($J263,食材表!$A:E,5,FALSE),0)+IFERROR($K264*VLOOKUP($J264,食材表!$A:E,5,FALSE),0)+IFERROR($K265*VLOOKUP($J265,食材表!$A:E,5,FALSE),0)</f>
        <v>0</v>
      </c>
      <c r="O263" s="342">
        <f>IFERROR($I263*VLOOKUP($H263,食材表!$A:F,6,FALSE),0)+IFERROR($I264*VLOOKUP($H264,食材表!$A:F,6,FALSE),0)+IFERROR($I265*VLOOKUP($H265,食材表!$A:F,6,FALSE),0)+IFERROR($K263*VLOOKUP($J263,食材表!$A:F,6,FALSE),0)+IFERROR($K264*VLOOKUP($J264,食材表!$A:F,6,FALSE),0)+IFERROR($K265*VLOOKUP($J265,食材表!$A:F,6,FALSE),0)</f>
        <v>0.02</v>
      </c>
      <c r="P263" s="342">
        <f>IFERROR($I263*VLOOKUP($H263,食材表!$A:G,7,FALSE),0)+IFERROR($I264*VLOOKUP($H264,食材表!$A:G,7,FALSE),0)+IFERROR($I265*VLOOKUP($H265,食材表!$A:G,7,FALSE),0)+IFERROR($K263*VLOOKUP($J263,食材表!$A:G,7,FALSE),0)+IFERROR($K264*VLOOKUP($J264,食材表!$A:G,7,FALSE),0)+IFERROR($K265*VLOOKUP($J265,食材表!$A:G,7,FALSE),0)</f>
        <v>0</v>
      </c>
      <c r="Q263" s="342">
        <f>IFERROR($I263*VLOOKUP($H263,食材表!$A:H,8,FALSE),0)+IFERROR($I264*VLOOKUP($H264,食材表!$A:H,8,FALSE),0)+IFERROR($I265*VLOOKUP($H265,食材表!$A:H,8,FALSE),0)+IFERROR($K263*VLOOKUP($J263,食材表!$A:H,8,FALSE),0)+IFERROR($K264*VLOOKUP($J264,食材表!$A:H,8,FALSE),0)+IFERROR($K265*VLOOKUP($J265,食材表!$A:H,8,FALSE),0)</f>
        <v>0</v>
      </c>
      <c r="R263" s="342">
        <f>IFERROR($I263*VLOOKUP($H263,食材表!$A:I,9,FALSE),0)+IFERROR($I264*VLOOKUP($H264,食材表!$A:I,9,FALSE),0)+IFERROR($I265*VLOOKUP($H265,食材表!$A:I,9,FALSE),0)+IFERROR($K263*VLOOKUP($J263,食材表!$A:I,9,FALSE),0)+IFERROR($K264*VLOOKUP($J264,食材表!$A:I,9,FALSE),0)+IFERROR($K265*VLOOKUP($J265,食材表!$A:I,9,FALSE),0)</f>
        <v>0</v>
      </c>
      <c r="S263" s="342">
        <f>SUM(L263*70+M263*75+N263*120+O263*25+P263*60+Q263*45+R263*4)</f>
        <v>14.346153846153847</v>
      </c>
    </row>
    <row r="264" spans="1:19">
      <c r="A264" s="33" t="str">
        <f>"2"&amp;+$B263</f>
        <v>2紫菜蛋花湯</v>
      </c>
      <c r="B264" s="356"/>
      <c r="C264" s="31" t="s">
        <v>48</v>
      </c>
      <c r="D264" s="33">
        <v>0.6</v>
      </c>
      <c r="E264" s="31"/>
      <c r="F264" s="33"/>
      <c r="G264" s="347"/>
      <c r="H264" s="93" t="str">
        <f t="shared" si="180"/>
        <v>雞蛋</v>
      </c>
      <c r="I264" s="86">
        <f>IFERROR(IF(LEN(D264)=LENB(D264),ROUND(LEFT(D264,2*LEN(D264)-LENB(D264))/$A$1,3),((ROUND(LEFT(D264,2*LEN(D264)-LENB(D264))/$A$1,3))*VLOOKUP(H264,食材表!$A:$B,2,FALSE))),"")</f>
        <v>1.2E-2</v>
      </c>
      <c r="J264" s="93">
        <f t="shared" si="181"/>
        <v>0</v>
      </c>
      <c r="K264" s="86" t="str">
        <f>IFERROR(IF(LEN(F264)=LENB(F264),ROUND(LEFT(F264,2*LEN(F264)-LENB(F264))/$A$1,3),((ROUND(LEFT(F264,2*LEN(F264)-LENB(F264))/$A$1,3))*VLOOKUP(J264,食材表!$A:$B,2,FALSE))),"")</f>
        <v/>
      </c>
      <c r="L264" s="343"/>
      <c r="M264" s="343"/>
      <c r="N264" s="343"/>
      <c r="O264" s="343"/>
      <c r="P264" s="343"/>
      <c r="Q264" s="343"/>
      <c r="R264" s="343"/>
      <c r="S264" s="343"/>
    </row>
    <row r="265" spans="1:19">
      <c r="A265" s="33" t="str">
        <f>"3"&amp;+$B263</f>
        <v>3紫菜蛋花湯</v>
      </c>
      <c r="B265" s="357"/>
      <c r="C265" s="28" t="s">
        <v>276</v>
      </c>
      <c r="D265" s="8">
        <v>0.1</v>
      </c>
      <c r="E265" s="28"/>
      <c r="F265" s="8"/>
      <c r="G265" s="348"/>
      <c r="H265" s="92" t="str">
        <f t="shared" si="180"/>
        <v>嫩薑絲</v>
      </c>
      <c r="I265" s="84">
        <f>IFERROR(IF(LEN(D265)=LENB(D265),ROUND(LEFT(D265,2*LEN(D265)-LENB(D265))/$A$1,3),((ROUND(LEFT(D265,2*LEN(D265)-LENB(D265))/$A$1,3))*VLOOKUP(H265,食材表!$A:$B,2,FALSE))),"")</f>
        <v>2E-3</v>
      </c>
      <c r="J265" s="92">
        <f t="shared" si="181"/>
        <v>0</v>
      </c>
      <c r="K265" s="85" t="str">
        <f>IFERROR(IF(LEN(F265)=LENB(F265),ROUND(LEFT(F265,2*LEN(F265)-LENB(F265))/$A$1,3),((ROUND(LEFT(F265,2*LEN(F265)-LENB(F265))/$A$1,3))*VLOOKUP(J265,食材表!$A:$B,2,FALSE))),"")</f>
        <v/>
      </c>
      <c r="L265" s="344"/>
      <c r="M265" s="344"/>
      <c r="N265" s="344"/>
      <c r="O265" s="344"/>
      <c r="P265" s="344"/>
      <c r="Q265" s="344"/>
      <c r="R265" s="344"/>
      <c r="S265" s="344"/>
    </row>
    <row r="266" spans="1:19">
      <c r="A266" s="33" t="str">
        <f>"1"&amp;+$B266</f>
        <v>1紫菜豆腐湯</v>
      </c>
      <c r="B266" s="355" t="s">
        <v>942</v>
      </c>
      <c r="C266" s="55" t="s">
        <v>943</v>
      </c>
      <c r="D266" s="56">
        <v>0.1</v>
      </c>
      <c r="E266" s="55"/>
      <c r="F266" s="33"/>
      <c r="G266" s="346" t="str">
        <f>B266</f>
        <v>紫菜豆腐湯</v>
      </c>
      <c r="H266" s="91" t="str">
        <f t="shared" si="176"/>
        <v>紫菜</v>
      </c>
      <c r="I266" s="83">
        <f>IFERROR(IF(LEN(D266)=LENB(D266),ROUND(LEFT(D266,2*LEN(D266)-LENB(D266))/$A$1,3),((ROUND(LEFT(D266,2*LEN(D266)-LENB(D266))/$A$1,3))*VLOOKUP(H266,食材表!$A:$B,2,FALSE))),"")</f>
        <v>2E-3</v>
      </c>
      <c r="J266" s="91">
        <f t="shared" si="177"/>
        <v>0</v>
      </c>
      <c r="K266" s="83" t="str">
        <f>IFERROR(IF(LEN(F266)=LENB(F266),ROUND(LEFT(F266,2*LEN(F266)-LENB(F266))/$A$1,3),((ROUND(LEFT(F266,2*LEN(F266)-LENB(F266))/$A$1,3))*VLOOKUP(J266,食材表!$A:$B,2,FALSE))),"")</f>
        <v/>
      </c>
      <c r="L266" s="342">
        <f>IFERROR($I266*VLOOKUP($H266,食材表!$A:C,3,FALSE),0)+IFERROR($I267*VLOOKUP($H267,食材表!$A:C,3,FALSE),0)+IFERROR($I268*VLOOKUP($H268,食材表!$A:C,3,FALSE),0)+IFERROR($K266*VLOOKUP($J266,食材表!$A:C,3,FALSE),0)+IFERROR($K267*VLOOKUP($J267,食材表!$A:C,3,FALSE),0)+IFERROR($K268*VLOOKUP($J268,食材表!$A:C,3,FALSE),0)</f>
        <v>0</v>
      </c>
      <c r="M266" s="342">
        <f>IFERROR($I266*VLOOKUP($H266,食材表!$A:D,4,FALSE),0)+IFERROR($I267*VLOOKUP($H267,食材表!$A:D,4,FALSE),0)+IFERROR($I268*VLOOKUP($H268,食材表!$A:D,4,FALSE),0)+IFERROR($K266*VLOOKUP($J266,食材表!$A:D,4,FALSE),0)+IFERROR($K267*VLOOKUP($J267,食材表!$A:D,4,FALSE),0)+IFERROR($K268*VLOOKUP($J268,食材表!$A:D,4,FALSE),0)</f>
        <v>0.3</v>
      </c>
      <c r="N266" s="342">
        <f>IFERROR($I266*VLOOKUP($H266,食材表!$A:E,5,FALSE),0)+IFERROR($I267*VLOOKUP($H267,食材表!$A:E,5,FALSE),0)+IFERROR($I268*VLOOKUP($H268,食材表!$A:E,5,FALSE),0)+IFERROR($K266*VLOOKUP($J266,食材表!$A:E,5,FALSE),0)+IFERROR($K267*VLOOKUP($J267,食材表!$A:E,5,FALSE),0)+IFERROR($K268*VLOOKUP($J268,食材表!$A:E,5,FALSE),0)</f>
        <v>0</v>
      </c>
      <c r="O266" s="342">
        <f>IFERROR($I266*VLOOKUP($H266,食材表!$A:F,6,FALSE),0)+IFERROR($I267*VLOOKUP($H267,食材表!$A:F,6,FALSE),0)+IFERROR($I268*VLOOKUP($H268,食材表!$A:F,6,FALSE),0)+IFERROR($K266*VLOOKUP($J266,食材表!$A:F,6,FALSE),0)+IFERROR($K267*VLOOKUP($J267,食材表!$A:F,6,FALSE),0)+IFERROR($K268*VLOOKUP($J268,食材表!$A:F,6,FALSE),0)</f>
        <v>0.02</v>
      </c>
      <c r="P266" s="342">
        <f>IFERROR($I266*VLOOKUP($H266,食材表!$A:G,7,FALSE),0)+IFERROR($I267*VLOOKUP($H267,食材表!$A:G,7,FALSE),0)+IFERROR($I268*VLOOKUP($H268,食材表!$A:G,7,FALSE),0)+IFERROR($K266*VLOOKUP($J266,食材表!$A:G,7,FALSE),0)+IFERROR($K267*VLOOKUP($J267,食材表!$A:G,7,FALSE),0)+IFERROR($K268*VLOOKUP($J268,食材表!$A:G,7,FALSE),0)</f>
        <v>0</v>
      </c>
      <c r="Q266" s="342">
        <f>IFERROR($I266*VLOOKUP($H266,食材表!$A:H,8,FALSE),0)+IFERROR($I267*VLOOKUP($H267,食材表!$A:H,8,FALSE),0)+IFERROR($I268*VLOOKUP($H268,食材表!$A:H,8,FALSE),0)+IFERROR($K266*VLOOKUP($J266,食材表!$A:H,8,FALSE),0)+IFERROR($K267*VLOOKUP($J267,食材表!$A:H,8,FALSE),0)+IFERROR($K268*VLOOKUP($J268,食材表!$A:H,8,FALSE),0)</f>
        <v>0</v>
      </c>
      <c r="R266" s="342">
        <f>IFERROR($I266*VLOOKUP($H266,食材表!$A:I,9,FALSE),0)+IFERROR($I267*VLOOKUP($H267,食材表!$A:I,9,FALSE),0)+IFERROR($I268*VLOOKUP($H268,食材表!$A:I,9,FALSE),0)+IFERROR($K266*VLOOKUP($J266,食材表!$A:I,9,FALSE),0)+IFERROR($K267*VLOOKUP($J267,食材表!$A:I,9,FALSE),0)+IFERROR($K268*VLOOKUP($J268,食材表!$A:I,9,FALSE),0)</f>
        <v>0</v>
      </c>
      <c r="S266" s="342">
        <f>SUM(L266*70+M266*75+N266*120+O266*25+P266*60+Q266*45+R266*4)</f>
        <v>23</v>
      </c>
    </row>
    <row r="267" spans="1:19">
      <c r="A267" s="33" t="str">
        <f>"2"&amp;+$B266</f>
        <v>2紫菜豆腐湯</v>
      </c>
      <c r="B267" s="356"/>
      <c r="C267" s="31" t="s">
        <v>100</v>
      </c>
      <c r="D267" s="33">
        <v>1.2</v>
      </c>
      <c r="E267" s="31"/>
      <c r="F267" s="33"/>
      <c r="G267" s="347"/>
      <c r="H267" s="93" t="str">
        <f t="shared" ref="H267:H268" si="182">C267</f>
        <v>板豆腐</v>
      </c>
      <c r="I267" s="86">
        <f>IFERROR(IF(LEN(D267)=LENB(D267),ROUND(LEFT(D267,2*LEN(D267)-LENB(D267))/$A$1,3),((ROUND(LEFT(D267,2*LEN(D267)-LENB(D267))/$A$1,3))*VLOOKUP(H267,食材表!$A:$B,2,FALSE))),"")</f>
        <v>2.4E-2</v>
      </c>
      <c r="J267" s="93">
        <f t="shared" ref="J267:J268" si="183">E267</f>
        <v>0</v>
      </c>
      <c r="K267" s="86" t="str">
        <f>IFERROR(IF(LEN(F267)=LENB(F267),ROUND(LEFT(F267,2*LEN(F267)-LENB(F267))/$A$1,3),((ROUND(LEFT(F267,2*LEN(F267)-LENB(F267))/$A$1,3))*VLOOKUP(J267,食材表!$A:$B,2,FALSE))),"")</f>
        <v/>
      </c>
      <c r="L267" s="343"/>
      <c r="M267" s="343"/>
      <c r="N267" s="343"/>
      <c r="O267" s="343"/>
      <c r="P267" s="343"/>
      <c r="Q267" s="343"/>
      <c r="R267" s="343"/>
      <c r="S267" s="343"/>
    </row>
    <row r="268" spans="1:19">
      <c r="A268" s="33" t="str">
        <f>"3"&amp;+$B266</f>
        <v>3紫菜豆腐湯</v>
      </c>
      <c r="B268" s="357"/>
      <c r="C268" s="28" t="s">
        <v>276</v>
      </c>
      <c r="D268" s="8">
        <v>0.1</v>
      </c>
      <c r="E268" s="28"/>
      <c r="F268" s="8"/>
      <c r="G268" s="348"/>
      <c r="H268" s="92" t="str">
        <f t="shared" si="182"/>
        <v>嫩薑絲</v>
      </c>
      <c r="I268" s="84">
        <f>IFERROR(IF(LEN(D268)=LENB(D268),ROUND(LEFT(D268,2*LEN(D268)-LENB(D268))/$A$1,3),((ROUND(LEFT(D268,2*LEN(D268)-LENB(D268))/$A$1,3))*VLOOKUP(H268,食材表!$A:$B,2,FALSE))),"")</f>
        <v>2E-3</v>
      </c>
      <c r="J268" s="92">
        <f t="shared" si="183"/>
        <v>0</v>
      </c>
      <c r="K268" s="85" t="str">
        <f>IFERROR(IF(LEN(F268)=LENB(F268),ROUND(LEFT(F268,2*LEN(F268)-LENB(F268))/$A$1,3),((ROUND(LEFT(F268,2*LEN(F268)-LENB(F268))/$A$1,3))*VLOOKUP(J268,食材表!$A:$B,2,FALSE))),"")</f>
        <v/>
      </c>
      <c r="L268" s="344"/>
      <c r="M268" s="344"/>
      <c r="N268" s="344"/>
      <c r="O268" s="344"/>
      <c r="P268" s="344"/>
      <c r="Q268" s="344"/>
      <c r="R268" s="344"/>
      <c r="S268" s="344"/>
    </row>
    <row r="269" spans="1:19">
      <c r="A269" s="33" t="str">
        <f>"1"&amp;+$B269</f>
        <v>1金針排骨湯</v>
      </c>
      <c r="B269" s="349" t="s">
        <v>1105</v>
      </c>
      <c r="C269" s="60" t="s">
        <v>462</v>
      </c>
      <c r="D269" s="59">
        <v>0.1</v>
      </c>
      <c r="E269" s="60"/>
      <c r="F269" s="59"/>
      <c r="G269" s="352" t="str">
        <f t="shared" ref="G269" si="184">B269</f>
        <v>金針排骨湯</v>
      </c>
      <c r="H269" s="91" t="str">
        <f>C269</f>
        <v>乾金針</v>
      </c>
      <c r="I269" s="83">
        <f>IFERROR(IF(LEN(D269)=LENB(D269),ROUND(LEFT(D269,2*LEN(D269)-LENB(D269))/$A$1,3),((ROUND(LEFT(D269,2*LEN(D269)-LENB(D269))/$A$1,3))*VLOOKUP(H269,食材表!$A:$B,2,FALSE))),"")</f>
        <v>2E-3</v>
      </c>
      <c r="J269" s="91">
        <f>E269</f>
        <v>0</v>
      </c>
      <c r="K269" s="83" t="str">
        <f>IFERROR(IF(LEN(F269)=LENB(F269),ROUND(LEFT(F269,2*LEN(F269)-LENB(F269))/$A$1,3),((ROUND(LEFT(F269,2*LEN(F269)-LENB(F269))/$A$1,3))*VLOOKUP(J269,食材表!$A:$B,2,FALSE))),"")</f>
        <v/>
      </c>
      <c r="L269" s="342">
        <f>IFERROR($I269*VLOOKUP($H269,食材表!$A:C,3,FALSE),0)+IFERROR($I270*VLOOKUP($H270,食材表!$A:C,3,FALSE),0)+IFERROR($I271*VLOOKUP($H271,食材表!$A:C,3,FALSE),0)+IFERROR($K269*VLOOKUP($J269,食材表!$A:C,3,FALSE),0)+IFERROR($K270*VLOOKUP($J270,食材表!$A:C,3,FALSE),0)+IFERROR($K271*VLOOKUP($J271,食材表!$A:C,3,FALSE),0)</f>
        <v>0</v>
      </c>
      <c r="M269" s="342">
        <f>IFERROR($I269*VLOOKUP($H269,食材表!$A:D,4,FALSE),0)+IFERROR($I270*VLOOKUP($H270,食材表!$A:D,4,FALSE),0)+IFERROR($I271*VLOOKUP($H271,食材表!$A:D,4,FALSE),0)+IFERROR($K269*VLOOKUP($J269,食材表!$A:D,4,FALSE),0)+IFERROR($K270*VLOOKUP($J270,食材表!$A:D,4,FALSE),0)+IFERROR($K271*VLOOKUP($J271,食材表!$A:D,4,FALSE),0)</f>
        <v>0</v>
      </c>
      <c r="N269" s="342">
        <f>IFERROR($I269*VLOOKUP($H269,食材表!$A:E,5,FALSE),0)+IFERROR($I270*VLOOKUP($H270,食材表!$A:E,5,FALSE),0)+IFERROR($I271*VLOOKUP($H271,食材表!$A:E,5,FALSE),0)+IFERROR($K269*VLOOKUP($J269,食材表!$A:E,5,FALSE),0)+IFERROR($K270*VLOOKUP($J270,食材表!$A:E,5,FALSE),0)+IFERROR($K271*VLOOKUP($J271,食材表!$A:E,5,FALSE),0)</f>
        <v>0</v>
      </c>
      <c r="O269" s="342">
        <f>IFERROR($I269*VLOOKUP($H269,食材表!$A:F,6,FALSE),0)+IFERROR($I270*VLOOKUP($H270,食材表!$A:F,6,FALSE),0)+IFERROR($I271*VLOOKUP($H271,食材表!$A:F,6,FALSE),0)+IFERROR($K269*VLOOKUP($J269,食材表!$A:F,6,FALSE),0)+IFERROR($K270*VLOOKUP($J270,食材表!$A:F,6,FALSE),0)+IFERROR($K271*VLOOKUP($J271,食材表!$A:F,6,FALSE),0)</f>
        <v>0.2</v>
      </c>
      <c r="P269" s="342">
        <f>IFERROR($I269*VLOOKUP($H269,食材表!$A:G,7,FALSE),0)+IFERROR($I270*VLOOKUP($H270,食材表!$A:G,7,FALSE),0)+IFERROR($I271*VLOOKUP($H271,食材表!$A:G,7,FALSE),0)+IFERROR($K269*VLOOKUP($J269,食材表!$A:G,7,FALSE),0)+IFERROR($K270*VLOOKUP($J270,食材表!$A:G,7,FALSE),0)+IFERROR($K271*VLOOKUP($J271,食材表!$A:G,7,FALSE),0)</f>
        <v>0</v>
      </c>
      <c r="Q269" s="342">
        <f>IFERROR($I269*VLOOKUP($H269,食材表!$A:H,8,FALSE),0)+IFERROR($I270*VLOOKUP($H270,食材表!$A:H,8,FALSE),0)+IFERROR($I271*VLOOKUP($H271,食材表!$A:H,8,FALSE),0)+IFERROR($K269*VLOOKUP($J269,食材表!$A:H,8,FALSE),0)+IFERROR($K270*VLOOKUP($J270,食材表!$A:H,8,FALSE),0)+IFERROR($K271*VLOOKUP($J271,食材表!$A:H,8,FALSE),0)</f>
        <v>0</v>
      </c>
      <c r="R269" s="342">
        <f>IFERROR($I269*VLOOKUP($H269,食材表!$A:I,9,FALSE),0)+IFERROR($I270*VLOOKUP($H270,食材表!$A:I,9,FALSE),0)+IFERROR($I271*VLOOKUP($H271,食材表!$A:I,9,FALSE),0)+IFERROR($K269*VLOOKUP($J269,食材表!$A:I,9,FALSE),0)+IFERROR($K270*VLOOKUP($J270,食材表!$A:I,9,FALSE),0)+IFERROR($K271*VLOOKUP($J271,食材表!$A:I,9,FALSE),0)</f>
        <v>0</v>
      </c>
      <c r="S269" s="342">
        <f t="shared" ref="S269" si="185">SUM(L269*70+M269*75+N269*120+O269*25+P269*60+Q269*45+R269*4)</f>
        <v>5</v>
      </c>
    </row>
    <row r="270" spans="1:19">
      <c r="A270" s="33" t="str">
        <f>"2"&amp;+$B269</f>
        <v>2金針排骨湯</v>
      </c>
      <c r="B270" s="383"/>
      <c r="C270" s="22" t="s">
        <v>1106</v>
      </c>
      <c r="D270" s="36">
        <v>3</v>
      </c>
      <c r="E270" s="31"/>
      <c r="F270" s="33"/>
      <c r="G270" s="353"/>
      <c r="H270" s="93" t="str">
        <f>C270</f>
        <v>軟骨排丁</v>
      </c>
      <c r="I270" s="86">
        <f>IFERROR(IF(LEN(D270)=LENB(D270),ROUND(LEFT(D270,2*LEN(D270)-LENB(D270))/$A$1,3),((ROUND(LEFT(D270,2*LEN(D270)-LENB(D270))/$A$1,3))*VLOOKUP(H270,食材表!$A:$B,2,FALSE))),"")</f>
        <v>0.06</v>
      </c>
      <c r="J270" s="93">
        <f>E270</f>
        <v>0</v>
      </c>
      <c r="K270" s="86" t="str">
        <f>IFERROR(IF(LEN(F270)=LENB(F270),ROUND(LEFT(F270,2*LEN(F270)-LENB(F270))/$A$1,3),((ROUND(LEFT(F270,2*LEN(F270)-LENB(F270))/$A$1,3))*VLOOKUP(J270,食材表!$A:$B,2,FALSE))),"")</f>
        <v/>
      </c>
      <c r="L270" s="343"/>
      <c r="M270" s="343"/>
      <c r="N270" s="343"/>
      <c r="O270" s="343"/>
      <c r="P270" s="343"/>
      <c r="Q270" s="343"/>
      <c r="R270" s="343"/>
      <c r="S270" s="343"/>
    </row>
    <row r="271" spans="1:19">
      <c r="A271" s="33" t="str">
        <f>"3"&amp;+$B269</f>
        <v>3金針排骨湯</v>
      </c>
      <c r="B271" s="351"/>
      <c r="C271" s="28"/>
      <c r="D271" s="33"/>
      <c r="E271" s="26"/>
      <c r="F271" s="37"/>
      <c r="G271" s="354"/>
      <c r="H271" s="92">
        <f>C271</f>
        <v>0</v>
      </c>
      <c r="I271" s="84" t="str">
        <f>IFERROR(IF(LEN(D271)=LENB(D271),ROUND(LEFT(D271,2*LEN(D271)-LENB(D271))/$A$1,3),((ROUND(LEFT(D271,2*LEN(D271)-LENB(D271))/$A$1,3))*VLOOKUP(H271,食材表!$A:$B,2,FALSE))),"")</f>
        <v/>
      </c>
      <c r="J271" s="92">
        <f>E271</f>
        <v>0</v>
      </c>
      <c r="K271" s="85" t="str">
        <f>IFERROR(IF(LEN(F271)=LENB(F271),ROUND(LEFT(F271,2*LEN(F271)-LENB(F271))/$A$1,3),((ROUND(LEFT(F271,2*LEN(F271)-LENB(F271))/$A$1,3))*VLOOKUP(J271,食材表!$A:$B,2,FALSE))),"")</f>
        <v/>
      </c>
      <c r="L271" s="344"/>
      <c r="M271" s="344"/>
      <c r="N271" s="344"/>
      <c r="O271" s="344"/>
      <c r="P271" s="344"/>
      <c r="Q271" s="344"/>
      <c r="R271" s="344"/>
      <c r="S271" s="344"/>
    </row>
    <row r="272" spans="1:19">
      <c r="A272" s="33" t="str">
        <f>"1"&amp;+$B272</f>
        <v>1蘿蔔排骨湯</v>
      </c>
      <c r="B272" s="377" t="s">
        <v>55</v>
      </c>
      <c r="C272" s="55" t="s">
        <v>51</v>
      </c>
      <c r="D272" s="56">
        <v>3</v>
      </c>
      <c r="E272" s="58"/>
      <c r="F272" s="56"/>
      <c r="G272" s="352" t="str">
        <f>B272</f>
        <v>蘿蔔排骨湯</v>
      </c>
      <c r="H272" s="91" t="str">
        <f>C272</f>
        <v>白蘿蔔</v>
      </c>
      <c r="I272" s="83">
        <f>IFERROR(IF(LEN(D272)=LENB(D272),ROUND(LEFT(D272,2*LEN(D272)-LENB(D272))/$A$1,3),((ROUND(LEFT(D272,2*LEN(D272)-LENB(D272))/$A$1,3))*VLOOKUP(H272,食材表!$A:$B,2,FALSE))),"")</f>
        <v>0.06</v>
      </c>
      <c r="J272" s="91">
        <f>E272</f>
        <v>0</v>
      </c>
      <c r="K272" s="83" t="str">
        <f>IFERROR(IF(LEN(F272)=LENB(F272),ROUND(LEFT(F272,2*LEN(F272)-LENB(F272))/$A$1,3),((ROUND(LEFT(F272,2*LEN(F272)-LENB(F272))/$A$1,3))*VLOOKUP(J272,食材表!$A:$B,2,FALSE))),"")</f>
        <v/>
      </c>
      <c r="L272" s="342">
        <f>IFERROR($I272*VLOOKUP($H272,食材表!$A:C,3,FALSE),0)+IFERROR($I273*VLOOKUP($H273,食材表!$A:C,3,FALSE),0)+IFERROR($I274*VLOOKUP($H274,食材表!$A:C,3,FALSE),0)+IFERROR($K272*VLOOKUP($J272,食材表!$A:C,3,FALSE),0)+IFERROR($K273*VLOOKUP($J273,食材表!$A:C,3,FALSE),0)+IFERROR($K274*VLOOKUP($J274,食材表!$A:C,3,FALSE),0)</f>
        <v>0</v>
      </c>
      <c r="M272" s="342">
        <f>IFERROR($I272*VLOOKUP($H272,食材表!$A:D,4,FALSE),0)+IFERROR($I273*VLOOKUP($H273,食材表!$A:D,4,FALSE),0)+IFERROR($I274*VLOOKUP($H274,食材表!$A:D,4,FALSE),0)+IFERROR($K272*VLOOKUP($J272,食材表!$A:D,4,FALSE),0)+IFERROR($K273*VLOOKUP($J273,食材表!$A:D,4,FALSE),0)+IFERROR($K274*VLOOKUP($J274,食材表!$A:D,4,FALSE),0)</f>
        <v>1.0344827586206897</v>
      </c>
      <c r="N272" s="342">
        <f>IFERROR($I272*VLOOKUP($H272,食材表!$A:E,5,FALSE),0)+IFERROR($I273*VLOOKUP($H273,食材表!$A:E,5,FALSE),0)+IFERROR($I274*VLOOKUP($H274,食材表!$A:E,5,FALSE),0)+IFERROR($K272*VLOOKUP($J272,食材表!$A:E,5,FALSE),0)+IFERROR($K273*VLOOKUP($J273,食材表!$A:E,5,FALSE),0)+IFERROR($K274*VLOOKUP($J274,食材表!$A:E,5,FALSE),0)</f>
        <v>0</v>
      </c>
      <c r="O272" s="342">
        <f>IFERROR($I272*VLOOKUP($H272,食材表!$A:F,6,FALSE),0)+IFERROR($I273*VLOOKUP($H273,食材表!$A:F,6,FALSE),0)+IFERROR($I274*VLOOKUP($H274,食材表!$A:F,6,FALSE),0)+IFERROR($K272*VLOOKUP($J272,食材表!$A:F,6,FALSE),0)+IFERROR($K273*VLOOKUP($J273,食材表!$A:F,6,FALSE),0)+IFERROR($K274*VLOOKUP($J274,食材表!$A:F,6,FALSE),0)</f>
        <v>0</v>
      </c>
      <c r="P272" s="342">
        <f>IFERROR($I272*VLOOKUP($H272,食材表!$A:G,7,FALSE),0)+IFERROR($I273*VLOOKUP($H273,食材表!$A:G,7,FALSE),0)+IFERROR($I274*VLOOKUP($H274,食材表!$A:G,7,FALSE),0)+IFERROR($K272*VLOOKUP($J272,食材表!$A:G,7,FALSE),0)+IFERROR($K273*VLOOKUP($J273,食材表!$A:G,7,FALSE),0)+IFERROR($K274*VLOOKUP($J274,食材表!$A:G,7,FALSE),0)</f>
        <v>0</v>
      </c>
      <c r="Q272" s="342">
        <f>IFERROR($I272*VLOOKUP($H272,食材表!$A:H,8,FALSE),0)+IFERROR($I273*VLOOKUP($H273,食材表!$A:H,8,FALSE),0)+IFERROR($I274*VLOOKUP($H274,食材表!$A:H,8,FALSE),0)+IFERROR($K272*VLOOKUP($J272,食材表!$A:H,8,FALSE),0)+IFERROR($K273*VLOOKUP($J273,食材表!$A:H,8,FALSE),0)+IFERROR($K274*VLOOKUP($J274,食材表!$A:H,8,FALSE),0)</f>
        <v>0</v>
      </c>
      <c r="R272" s="342">
        <f>IFERROR($I272*VLOOKUP($H272,食材表!$A:I,9,FALSE),0)+IFERROR($I273*VLOOKUP($H273,食材表!$A:I,9,FALSE),0)+IFERROR($I274*VLOOKUP($H274,食材表!$A:I,9,FALSE),0)+IFERROR($K272*VLOOKUP($J272,食材表!$A:I,9,FALSE),0)+IFERROR($K273*VLOOKUP($J273,食材表!$A:I,9,FALSE),0)+IFERROR($K274*VLOOKUP($J274,食材表!$A:I,9,FALSE),0)</f>
        <v>0</v>
      </c>
      <c r="S272" s="342">
        <f>SUM(L272*70+M272*75+N272*120+O272*25+P272*60+Q272*45+R272*4)</f>
        <v>77.58620689655173</v>
      </c>
    </row>
    <row r="273" spans="1:19">
      <c r="A273" s="33" t="str">
        <f>"2"&amp;+$B272</f>
        <v>2蘿蔔排骨湯</v>
      </c>
      <c r="B273" s="378"/>
      <c r="C273" s="31" t="s">
        <v>105</v>
      </c>
      <c r="D273" s="33">
        <v>3</v>
      </c>
      <c r="E273" s="27"/>
      <c r="F273" s="33"/>
      <c r="G273" s="353"/>
      <c r="H273" s="93" t="str">
        <f t="shared" ref="H273:H274" si="186">C273</f>
        <v>小排丁</v>
      </c>
      <c r="I273" s="86">
        <f>IFERROR(IF(LEN(D273)=LENB(D273),ROUND(LEFT(D273,2*LEN(D273)-LENB(D273))/$A$1,3),((ROUND(LEFT(D273,2*LEN(D273)-LENB(D273))/$A$1,3))*VLOOKUP(H273,食材表!$A:$B,2,FALSE))),"")</f>
        <v>0.06</v>
      </c>
      <c r="J273" s="93">
        <f t="shared" ref="J273:J274" si="187">E273</f>
        <v>0</v>
      </c>
      <c r="K273" s="86" t="str">
        <f>IFERROR(IF(LEN(F273)=LENB(F273),ROUND(LEFT(F273,2*LEN(F273)-LENB(F273))/$A$1,3),((ROUND(LEFT(F273,2*LEN(F273)-LENB(F273))/$A$1,3))*VLOOKUP(J273,食材表!$A:$B,2,FALSE))),"")</f>
        <v/>
      </c>
      <c r="L273" s="343"/>
      <c r="M273" s="343"/>
      <c r="N273" s="343"/>
      <c r="O273" s="343"/>
      <c r="P273" s="343"/>
      <c r="Q273" s="343"/>
      <c r="R273" s="343"/>
      <c r="S273" s="343"/>
    </row>
    <row r="274" spans="1:19">
      <c r="A274" s="33" t="str">
        <f>"3"&amp;+$B272</f>
        <v>3蘿蔔排骨湯</v>
      </c>
      <c r="B274" s="379"/>
      <c r="C274" s="28"/>
      <c r="D274" s="8"/>
      <c r="E274" s="29"/>
      <c r="F274" s="8"/>
      <c r="G274" s="354"/>
      <c r="H274" s="92">
        <f t="shared" si="186"/>
        <v>0</v>
      </c>
      <c r="I274" s="84" t="str">
        <f>IFERROR(IF(LEN(D274)=LENB(D274),ROUND(LEFT(D274,2*LEN(D274)-LENB(D274))/$A$1,3),((ROUND(LEFT(D274,2*LEN(D274)-LENB(D274))/$A$1,3))*VLOOKUP(H274,食材表!$A:$B,2,FALSE))),"")</f>
        <v/>
      </c>
      <c r="J274" s="92">
        <f t="shared" si="187"/>
        <v>0</v>
      </c>
      <c r="K274" s="85" t="str">
        <f>IFERROR(IF(LEN(F274)=LENB(F274),ROUND(LEFT(F274,2*LEN(F274)-LENB(F274))/$A$1,3),((ROUND(LEFT(F274,2*LEN(F274)-LENB(F274))/$A$1,3))*VLOOKUP(J274,食材表!$A:$B,2,FALSE))),"")</f>
        <v/>
      </c>
      <c r="L274" s="344"/>
      <c r="M274" s="344"/>
      <c r="N274" s="344"/>
      <c r="O274" s="344"/>
      <c r="P274" s="344"/>
      <c r="Q274" s="344"/>
      <c r="R274" s="344"/>
      <c r="S274" s="344"/>
    </row>
    <row r="275" spans="1:19">
      <c r="A275" s="33" t="str">
        <f>"1"&amp;+$B275</f>
        <v>1大黃瓜雞湯</v>
      </c>
      <c r="B275" s="349" t="s">
        <v>984</v>
      </c>
      <c r="C275" s="57" t="s">
        <v>361</v>
      </c>
      <c r="D275" s="56">
        <v>2.4</v>
      </c>
      <c r="E275" s="55"/>
      <c r="F275" s="40"/>
      <c r="G275" s="352" t="str">
        <f>B275</f>
        <v>大黃瓜雞湯</v>
      </c>
      <c r="H275" s="91" t="str">
        <f>C275</f>
        <v>大黃瓜</v>
      </c>
      <c r="I275" s="83">
        <f>IFERROR(IF(LEN(D275)=LENB(D275),ROUND(LEFT(D275,2*LEN(D275)-LENB(D275))/$A$1,3),((ROUND(LEFT(D275,2*LEN(D275)-LENB(D275))/$A$1,3))*VLOOKUP(H275,食材表!$A:$B,2,FALSE))),"")</f>
        <v>4.8000000000000001E-2</v>
      </c>
      <c r="J275" s="91">
        <f>E275</f>
        <v>0</v>
      </c>
      <c r="K275" s="83" t="str">
        <f>IFERROR(IF(LEN(F275)=LENB(F275),ROUND(LEFT(F275,2*LEN(F275)-LENB(F275))/$A$1,3),((ROUND(LEFT(F275,2*LEN(F275)-LENB(F275))/$A$1,3))*VLOOKUP(J275,食材表!$A:$B,2,FALSE))),"")</f>
        <v/>
      </c>
      <c r="L275" s="342">
        <f>IFERROR($I275*VLOOKUP($H275,食材表!$A:C,3,FALSE),0)+IFERROR($I276*VLOOKUP($H276,食材表!$A:C,3,FALSE),0)+IFERROR($I277*VLOOKUP($H277,食材表!$A:C,3,FALSE),0)+IFERROR($K275*VLOOKUP($J275,食材表!$A:C,3,FALSE),0)+IFERROR($K276*VLOOKUP($J276,食材表!$A:C,3,FALSE),0)+IFERROR($K277*VLOOKUP($J277,食材表!$A:C,3,FALSE),0)</f>
        <v>0</v>
      </c>
      <c r="M275" s="342">
        <f>IFERROR($I275*VLOOKUP($H275,食材表!$A:D,4,FALSE),0)+IFERROR($I276*VLOOKUP($H276,食材表!$A:D,4,FALSE),0)+IFERROR($I277*VLOOKUP($H277,食材表!$A:D,4,FALSE),0)+IFERROR($K275*VLOOKUP($J275,食材表!$A:D,4,FALSE),0)+IFERROR($K276*VLOOKUP($J276,食材表!$A:D,4,FALSE),0)+IFERROR($K277*VLOOKUP($J277,食材表!$A:D,4,FALSE),0)</f>
        <v>0</v>
      </c>
      <c r="N275" s="342">
        <f>IFERROR($I275*VLOOKUP($H275,食材表!$A:E,5,FALSE),0)+IFERROR($I276*VLOOKUP($H276,食材表!$A:E,5,FALSE),0)+IFERROR($I277*VLOOKUP($H277,食材表!$A:E,5,FALSE),0)+IFERROR($K275*VLOOKUP($J275,食材表!$A:E,5,FALSE),0)+IFERROR($K276*VLOOKUP($J276,食材表!$A:E,5,FALSE),0)+IFERROR($K277*VLOOKUP($J277,食材表!$A:E,5,FALSE),0)</f>
        <v>0</v>
      </c>
      <c r="O275" s="342">
        <f>IFERROR($I275*VLOOKUP($H275,食材表!$A:F,6,FALSE),0)+IFERROR($I276*VLOOKUP($H276,食材表!$A:F,6,FALSE),0)+IFERROR($I277*VLOOKUP($H277,食材表!$A:F,6,FALSE),0)+IFERROR($K275*VLOOKUP($J275,食材表!$A:F,6,FALSE),0)+IFERROR($K276*VLOOKUP($J276,食材表!$A:F,6,FALSE),0)+IFERROR($K277*VLOOKUP($J277,食材表!$A:F,6,FALSE),0)</f>
        <v>0.5</v>
      </c>
      <c r="P275" s="342">
        <f>IFERROR($I275*VLOOKUP($H275,食材表!$A:G,7,FALSE),0)+IFERROR($I276*VLOOKUP($H276,食材表!$A:G,7,FALSE),0)+IFERROR($I277*VLOOKUP($H277,食材表!$A:G,7,FALSE),0)+IFERROR($K275*VLOOKUP($J275,食材表!$A:G,7,FALSE),0)+IFERROR($K276*VLOOKUP($J276,食材表!$A:G,7,FALSE),0)+IFERROR($K277*VLOOKUP($J277,食材表!$A:G,7,FALSE),0)</f>
        <v>0</v>
      </c>
      <c r="Q275" s="342">
        <f>IFERROR($I275*VLOOKUP($H275,食材表!$A:H,8,FALSE),0)+IFERROR($I276*VLOOKUP($H276,食材表!$A:H,8,FALSE),0)+IFERROR($I277*VLOOKUP($H277,食材表!$A:H,8,FALSE),0)+IFERROR($K275*VLOOKUP($J275,食材表!$A:H,8,FALSE),0)+IFERROR($K276*VLOOKUP($J276,食材表!$A:H,8,FALSE),0)+IFERROR($K277*VLOOKUP($J277,食材表!$A:H,8,FALSE),0)</f>
        <v>0</v>
      </c>
      <c r="R275" s="342">
        <f>IFERROR($I275*VLOOKUP($H275,食材表!$A:I,9,FALSE),0)+IFERROR($I276*VLOOKUP($H276,食材表!$A:I,9,FALSE),0)+IFERROR($I277*VLOOKUP($H277,食材表!$A:I,9,FALSE),0)+IFERROR($K275*VLOOKUP($J275,食材表!$A:I,9,FALSE),0)+IFERROR($K276*VLOOKUP($J276,食材表!$A:I,9,FALSE),0)+IFERROR($K277*VLOOKUP($J277,食材表!$A:I,9,FALSE),0)</f>
        <v>0</v>
      </c>
      <c r="S275" s="342">
        <f>SUM(L275*70+M275*75+N275*120+O275*25+P275*60+Q275*45+R275*4)</f>
        <v>12.5</v>
      </c>
    </row>
    <row r="276" spans="1:19">
      <c r="A276" s="33" t="str">
        <f>"2"&amp;+$B275</f>
        <v>2大黃瓜雞湯</v>
      </c>
      <c r="B276" s="350"/>
      <c r="C276" s="35" t="s">
        <v>985</v>
      </c>
      <c r="D276" s="40">
        <v>2</v>
      </c>
      <c r="E276" s="31"/>
      <c r="F276" s="33"/>
      <c r="G276" s="353"/>
      <c r="H276" s="93" t="str">
        <f t="shared" ref="H276:H277" si="188">C276</f>
        <v>雞腿仁</v>
      </c>
      <c r="I276" s="86">
        <f>IFERROR(IF(LEN(D276)=LENB(D276),ROUND(LEFT(D276,2*LEN(D276)-LENB(D276))/$A$1,3),((ROUND(LEFT(D276,2*LEN(D276)-LENB(D276))/$A$1,3))*VLOOKUP(H276,食材表!$A:$B,2,FALSE))),"")</f>
        <v>0.04</v>
      </c>
      <c r="J276" s="93">
        <f t="shared" ref="J276:J277" si="189">E276</f>
        <v>0</v>
      </c>
      <c r="K276" s="86" t="str">
        <f>IFERROR(IF(LEN(F276)=LENB(F276),ROUND(LEFT(F276,2*LEN(F276)-LENB(F276))/$A$1,3),((ROUND(LEFT(F276,2*LEN(F276)-LENB(F276))/$A$1,3))*VLOOKUP(J276,食材表!$A:$B,2,FALSE))),"")</f>
        <v/>
      </c>
      <c r="L276" s="343"/>
      <c r="M276" s="343"/>
      <c r="N276" s="343"/>
      <c r="O276" s="343"/>
      <c r="P276" s="343"/>
      <c r="Q276" s="343"/>
      <c r="R276" s="343"/>
      <c r="S276" s="343"/>
    </row>
    <row r="277" spans="1:19">
      <c r="A277" s="33" t="str">
        <f>"3"&amp;+$B275</f>
        <v>3大黃瓜雞湯</v>
      </c>
      <c r="B277" s="351"/>
      <c r="C277" s="28" t="s">
        <v>183</v>
      </c>
      <c r="D277" s="8">
        <v>0.1</v>
      </c>
      <c r="E277" s="28"/>
      <c r="F277" s="8"/>
      <c r="G277" s="354"/>
      <c r="H277" s="92" t="str">
        <f t="shared" si="188"/>
        <v>薑絲</v>
      </c>
      <c r="I277" s="84">
        <f>IFERROR(IF(LEN(D277)=LENB(D277),ROUND(LEFT(D277,2*LEN(D277)-LENB(D277))/$A$1,3),((ROUND(LEFT(D277,2*LEN(D277)-LENB(D277))/$A$1,3))*VLOOKUP(H277,食材表!$A:$B,2,FALSE))),"")</f>
        <v>2E-3</v>
      </c>
      <c r="J277" s="92">
        <f t="shared" si="189"/>
        <v>0</v>
      </c>
      <c r="K277" s="85" t="str">
        <f>IFERROR(IF(LEN(F277)=LENB(F277),ROUND(LEFT(F277,2*LEN(F277)-LENB(F277))/$A$1,3),((ROUND(LEFT(F277,2*LEN(F277)-LENB(F277))/$A$1,3))*VLOOKUP(J277,食材表!$A:$B,2,FALSE))),"")</f>
        <v/>
      </c>
      <c r="L277" s="344"/>
      <c r="M277" s="344"/>
      <c r="N277" s="344"/>
      <c r="O277" s="344"/>
      <c r="P277" s="344"/>
      <c r="Q277" s="344"/>
      <c r="R277" s="344"/>
      <c r="S277" s="344"/>
    </row>
    <row r="278" spans="1:19">
      <c r="A278" s="33" t="str">
        <f>"1"&amp;+$B278</f>
        <v>1福菜雞湯</v>
      </c>
      <c r="B278" s="389" t="s">
        <v>1093</v>
      </c>
      <c r="C278" s="72" t="s">
        <v>1094</v>
      </c>
      <c r="D278" s="59">
        <v>1</v>
      </c>
      <c r="E278" s="60"/>
      <c r="F278" s="36"/>
      <c r="G278" s="352" t="str">
        <f t="shared" ref="G278" si="190">B278</f>
        <v>福菜雞湯</v>
      </c>
      <c r="H278" s="91" t="str">
        <f t="shared" ref="H278:H284" si="191">C278</f>
        <v>福菜</v>
      </c>
      <c r="I278" s="83">
        <f>IFERROR(IF(LEN(D278)=LENB(D278),ROUND(LEFT(D278,2*LEN(D278)-LENB(D278))/$A$1,3),((ROUND(LEFT(D278,2*LEN(D278)-LENB(D278))/$A$1,3))*VLOOKUP(H278,食材表!$A:$B,2,FALSE))),"")</f>
        <v>0.02</v>
      </c>
      <c r="J278" s="91">
        <f t="shared" ref="J278:J284" si="192">E278</f>
        <v>0</v>
      </c>
      <c r="K278" s="83" t="str">
        <f>IFERROR(IF(LEN(F278)=LENB(F278),ROUND(LEFT(F278,2*LEN(F278)-LENB(F278))/$A$1,3),((ROUND(LEFT(F278,2*LEN(F278)-LENB(F278))/$A$1,3))*VLOOKUP(J278,食材表!$A:$B,2,FALSE))),"")</f>
        <v/>
      </c>
      <c r="L278" s="342">
        <f>IFERROR($I278*VLOOKUP($H278,食材表!$A:C,3,FALSE),0)+IFERROR($I279*VLOOKUP($H279,食材表!$A:C,3,FALSE),0)+IFERROR($I280*VLOOKUP($H280,食材表!$A:C,3,FALSE),0)+IFERROR($K278*VLOOKUP($J278,食材表!$A:C,3,FALSE),0)+IFERROR($K279*VLOOKUP($J279,食材表!$A:C,3,FALSE),0)+IFERROR($K280*VLOOKUP($J280,食材表!$A:C,3,FALSE),0)</f>
        <v>0</v>
      </c>
      <c r="M278" s="342">
        <f>IFERROR($I278*VLOOKUP($H278,食材表!$A:D,4,FALSE),0)+IFERROR($I279*VLOOKUP($H279,食材表!$A:D,4,FALSE),0)+IFERROR($I280*VLOOKUP($H280,食材表!$A:D,4,FALSE),0)+IFERROR($K278*VLOOKUP($J278,食材表!$A:D,4,FALSE),0)+IFERROR($K279*VLOOKUP($J279,食材表!$A:D,4,FALSE),0)+IFERROR($K280*VLOOKUP($J280,食材表!$A:D,4,FALSE),0)</f>
        <v>0.90909090909090906</v>
      </c>
      <c r="N278" s="342">
        <f>IFERROR($I278*VLOOKUP($H278,食材表!$A:E,5,FALSE),0)+IFERROR($I279*VLOOKUP($H279,食材表!$A:E,5,FALSE),0)+IFERROR($I280*VLOOKUP($H280,食材表!$A:E,5,FALSE),0)+IFERROR($K278*VLOOKUP($J278,食材表!$A:E,5,FALSE),0)+IFERROR($K279*VLOOKUP($J279,食材表!$A:E,5,FALSE),0)+IFERROR($K280*VLOOKUP($J280,食材表!$A:E,5,FALSE),0)</f>
        <v>0</v>
      </c>
      <c r="O278" s="342">
        <f>IFERROR($I278*VLOOKUP($H278,食材表!$A:F,6,FALSE),0)+IFERROR($I279*VLOOKUP($H279,食材表!$A:F,6,FALSE),0)+IFERROR($I280*VLOOKUP($H280,食材表!$A:F,6,FALSE),0)+IFERROR($K278*VLOOKUP($J278,食材表!$A:F,6,FALSE),0)+IFERROR($K279*VLOOKUP($J279,食材表!$A:F,6,FALSE),0)+IFERROR($K280*VLOOKUP($J280,食材表!$A:F,6,FALSE),0)</f>
        <v>0</v>
      </c>
      <c r="P278" s="342">
        <f>IFERROR($I278*VLOOKUP($H278,食材表!$A:G,7,FALSE),0)+IFERROR($I279*VLOOKUP($H279,食材表!$A:G,7,FALSE),0)+IFERROR($I280*VLOOKUP($H280,食材表!$A:G,7,FALSE),0)+IFERROR($K278*VLOOKUP($J278,食材表!$A:G,7,FALSE),0)+IFERROR($K279*VLOOKUP($J279,食材表!$A:G,7,FALSE),0)+IFERROR($K280*VLOOKUP($J280,食材表!$A:G,7,FALSE),0)</f>
        <v>0</v>
      </c>
      <c r="Q278" s="342">
        <f>IFERROR($I278*VLOOKUP($H278,食材表!$A:H,8,FALSE),0)+IFERROR($I279*VLOOKUP($H279,食材表!$A:H,8,FALSE),0)+IFERROR($I280*VLOOKUP($H280,食材表!$A:H,8,FALSE),0)+IFERROR($K278*VLOOKUP($J278,食材表!$A:H,8,FALSE),0)+IFERROR($K279*VLOOKUP($J279,食材表!$A:H,8,FALSE),0)+IFERROR($K280*VLOOKUP($J280,食材表!$A:H,8,FALSE),0)</f>
        <v>0</v>
      </c>
      <c r="R278" s="342">
        <f>IFERROR($I278*VLOOKUP($H278,食材表!$A:I,9,FALSE),0)+IFERROR($I279*VLOOKUP($H279,食材表!$A:I,9,FALSE),0)+IFERROR($I280*VLOOKUP($H280,食材表!$A:I,9,FALSE),0)+IFERROR($K278*VLOOKUP($J278,食材表!$A:I,9,FALSE),0)+IFERROR($K279*VLOOKUP($J279,食材表!$A:I,9,FALSE),0)+IFERROR($K280*VLOOKUP($J280,食材表!$A:I,9,FALSE),0)</f>
        <v>0</v>
      </c>
      <c r="S278" s="342">
        <f t="shared" ref="S278" si="193">SUM(L278*70+M278*75+N278*120+O278*25+P278*60+Q278*45+R278*4)</f>
        <v>68.181818181818173</v>
      </c>
    </row>
    <row r="279" spans="1:19">
      <c r="A279" s="33" t="str">
        <f>"2"&amp;+$B278</f>
        <v>2福菜雞湯</v>
      </c>
      <c r="B279" s="272"/>
      <c r="C279" s="22" t="s">
        <v>104</v>
      </c>
      <c r="D279" s="36">
        <v>3</v>
      </c>
      <c r="E279" s="22"/>
      <c r="F279" s="36"/>
      <c r="G279" s="353"/>
      <c r="H279" s="93" t="str">
        <f t="shared" si="191"/>
        <v>棒棒腿丁</v>
      </c>
      <c r="I279" s="86">
        <f>IFERROR(IF(LEN(D279)=LENB(D279),ROUND(LEFT(D279,2*LEN(D279)-LENB(D279))/$A$1,3),((ROUND(LEFT(D279,2*LEN(D279)-LENB(D279))/$A$1,3))*VLOOKUP(H279,食材表!$A:$B,2,FALSE))),"")</f>
        <v>0.06</v>
      </c>
      <c r="J279" s="93">
        <f t="shared" si="192"/>
        <v>0</v>
      </c>
      <c r="K279" s="86" t="str">
        <f>IFERROR(IF(LEN(F279)=LENB(F279),ROUND(LEFT(F279,2*LEN(F279)-LENB(F279))/$A$1,3),((ROUND(LEFT(F279,2*LEN(F279)-LENB(F279))/$A$1,3))*VLOOKUP(J279,食材表!$A:$B,2,FALSE))),"")</f>
        <v/>
      </c>
      <c r="L279" s="343"/>
      <c r="M279" s="343"/>
      <c r="N279" s="343"/>
      <c r="O279" s="343"/>
      <c r="P279" s="343"/>
      <c r="Q279" s="343"/>
      <c r="R279" s="343"/>
      <c r="S279" s="343"/>
    </row>
    <row r="280" spans="1:19">
      <c r="A280" s="33" t="str">
        <f>"3"&amp;+$B278</f>
        <v>3福菜雞湯</v>
      </c>
      <c r="B280" s="273"/>
      <c r="C280" s="26"/>
      <c r="D280" s="37"/>
      <c r="E280" s="26"/>
      <c r="F280" s="37"/>
      <c r="G280" s="354"/>
      <c r="H280" s="92">
        <f t="shared" si="191"/>
        <v>0</v>
      </c>
      <c r="I280" s="84" t="str">
        <f>IFERROR(IF(LEN(D280)=LENB(D280),ROUND(LEFT(D280,2*LEN(D280)-LENB(D280))/$A$1,3),((ROUND(LEFT(D280,2*LEN(D280)-LENB(D280))/$A$1,3))*VLOOKUP(H280,食材表!$A:$B,2,FALSE))),"")</f>
        <v/>
      </c>
      <c r="J280" s="92">
        <f t="shared" si="192"/>
        <v>0</v>
      </c>
      <c r="K280" s="85" t="str">
        <f>IFERROR(IF(LEN(F280)=LENB(F280),ROUND(LEFT(F280,2*LEN(F280)-LENB(F280))/$A$1,3),((ROUND(LEFT(F280,2*LEN(F280)-LENB(F280))/$A$1,3))*VLOOKUP(J280,食材表!$A:$B,2,FALSE))),"")</f>
        <v/>
      </c>
      <c r="L280" s="344"/>
      <c r="M280" s="344"/>
      <c r="N280" s="344"/>
      <c r="O280" s="344"/>
      <c r="P280" s="344"/>
      <c r="Q280" s="344"/>
      <c r="R280" s="344"/>
      <c r="S280" s="344"/>
    </row>
    <row r="281" spans="1:19">
      <c r="A281" s="33" t="str">
        <f>"1"&amp;+$B281</f>
        <v>1義式田園蔬菜湯</v>
      </c>
      <c r="B281" s="349" t="s">
        <v>1110</v>
      </c>
      <c r="C281" s="57" t="s">
        <v>46</v>
      </c>
      <c r="D281" s="56">
        <v>1</v>
      </c>
      <c r="E281" s="55" t="s">
        <v>243</v>
      </c>
      <c r="F281" s="40">
        <v>1</v>
      </c>
      <c r="G281" s="352" t="str">
        <f t="shared" ref="G281" si="194">B281</f>
        <v>義式田園蔬菜湯</v>
      </c>
      <c r="H281" s="91" t="str">
        <f t="shared" si="191"/>
        <v>高麗菜</v>
      </c>
      <c r="I281" s="83">
        <f>IFERROR(IF(LEN(D281)=LENB(D281),ROUND(LEFT(D281,2*LEN(D281)-LENB(D281))/$A$1,3),((ROUND(LEFT(D281,2*LEN(D281)-LENB(D281))/$A$1,3))*VLOOKUP(H281,食材表!$A:$B,2,FALSE))),"")</f>
        <v>0.02</v>
      </c>
      <c r="J281" s="91" t="str">
        <f t="shared" si="192"/>
        <v>番茄</v>
      </c>
      <c r="K281" s="83">
        <f>IFERROR(IF(LEN(F281)=LENB(F281),ROUND(LEFT(F281,2*LEN(F281)-LENB(F281))/$A$1,3),((ROUND(LEFT(F281,2*LEN(F281)-LENB(F281))/$A$1,3))*VLOOKUP(J281,食材表!$A:$B,2,FALSE))),"")</f>
        <v>0.02</v>
      </c>
      <c r="L281" s="342">
        <f>IFERROR($I281*VLOOKUP($H281,食材表!$A:C,3,FALSE),0)+IFERROR($I282*VLOOKUP($H282,食材表!$A:C,3,FALSE),0)+IFERROR($I283*VLOOKUP($H283,食材表!$A:C,3,FALSE),0)+IFERROR($K281*VLOOKUP($J281,食材表!$A:C,3,FALSE),0)+IFERROR($K282*VLOOKUP($J282,食材表!$A:C,3,FALSE),0)+IFERROR($K283*VLOOKUP($J283,食材表!$A:C,3,FALSE),0)</f>
        <v>0.13333333333333333</v>
      </c>
      <c r="M281" s="342">
        <f>IFERROR($I281*VLOOKUP($H281,食材表!$A:D,4,FALSE),0)+IFERROR($I282*VLOOKUP($H282,食材表!$A:D,4,FALSE),0)+IFERROR($I283*VLOOKUP($H283,食材表!$A:D,4,FALSE),0)+IFERROR($K281*VLOOKUP($J281,食材表!$A:D,4,FALSE),0)+IFERROR($K282*VLOOKUP($J282,食材表!$A:D,4,FALSE),0)+IFERROR($K283*VLOOKUP($J283,食材表!$A:D,4,FALSE),0)</f>
        <v>0</v>
      </c>
      <c r="N281" s="342">
        <f>IFERROR($I281*VLOOKUP($H281,食材表!$A:E,5,FALSE),0)+IFERROR($I282*VLOOKUP($H282,食材表!$A:E,5,FALSE),0)+IFERROR($I283*VLOOKUP($H283,食材表!$A:E,5,FALSE),0)+IFERROR($K281*VLOOKUP($J281,食材表!$A:E,5,FALSE),0)+IFERROR($K282*VLOOKUP($J282,食材表!$A:E,5,FALSE),0)+IFERROR($K283*VLOOKUP($J283,食材表!$A:E,5,FALSE),0)</f>
        <v>0</v>
      </c>
      <c r="O281" s="342">
        <f>IFERROR($I281*VLOOKUP($H281,食材表!$A:F,6,FALSE),0)+IFERROR($I282*VLOOKUP($H282,食材表!$A:F,6,FALSE),0)+IFERROR($I283*VLOOKUP($H283,食材表!$A:F,6,FALSE),0)+IFERROR($K281*VLOOKUP($J281,食材表!$A:F,6,FALSE),0)+IFERROR($K282*VLOOKUP($J282,食材表!$A:F,6,FALSE),0)+IFERROR($K283*VLOOKUP($J283,食材表!$A:F,6,FALSE),0)</f>
        <v>0.24000000000000002</v>
      </c>
      <c r="P281" s="342">
        <f>IFERROR($I281*VLOOKUP($H281,食材表!$A:G,7,FALSE),0)+IFERROR($I282*VLOOKUP($H282,食材表!$A:G,7,FALSE),0)+IFERROR($I283*VLOOKUP($H283,食材表!$A:G,7,FALSE),0)+IFERROR($K281*VLOOKUP($J281,食材表!$A:G,7,FALSE),0)+IFERROR($K282*VLOOKUP($J282,食材表!$A:G,7,FALSE),0)+IFERROR($K283*VLOOKUP($J283,食材表!$A:G,7,FALSE),0)</f>
        <v>0</v>
      </c>
      <c r="Q281" s="342">
        <f>IFERROR($I281*VLOOKUP($H281,食材表!$A:H,8,FALSE),0)+IFERROR($I282*VLOOKUP($H282,食材表!$A:H,8,FALSE),0)+IFERROR($I283*VLOOKUP($H283,食材表!$A:H,8,FALSE),0)+IFERROR($K281*VLOOKUP($J281,食材表!$A:H,8,FALSE),0)+IFERROR($K282*VLOOKUP($J282,食材表!$A:H,8,FALSE),0)+IFERROR($K283*VLOOKUP($J283,食材表!$A:H,8,FALSE),0)</f>
        <v>0</v>
      </c>
      <c r="R281" s="342">
        <f>IFERROR($I281*VLOOKUP($H281,食材表!$A:I,9,FALSE),0)+IFERROR($I282*VLOOKUP($H282,食材表!$A:I,9,FALSE),0)+IFERROR($I283*VLOOKUP($H283,食材表!$A:I,9,FALSE),0)+IFERROR($K281*VLOOKUP($J281,食材表!$A:I,9,FALSE),0)+IFERROR($K282*VLOOKUP($J282,食材表!$A:I,9,FALSE),0)+IFERROR($K283*VLOOKUP($J283,食材表!$A:I,9,FALSE),0)</f>
        <v>0</v>
      </c>
      <c r="S281" s="342">
        <f t="shared" ref="S281" si="195">SUM(L281*70+M281*75+N281*120+O281*25+P281*60+Q281*45+R281*4)</f>
        <v>15.333333333333336</v>
      </c>
    </row>
    <row r="282" spans="1:19">
      <c r="A282" s="33" t="str">
        <f>"2"&amp;+$B281</f>
        <v>2義式田園蔬菜湯</v>
      </c>
      <c r="B282" s="350"/>
      <c r="C282" s="35" t="s">
        <v>160</v>
      </c>
      <c r="D282" s="40">
        <v>0.2</v>
      </c>
      <c r="E282" s="31" t="s">
        <v>1098</v>
      </c>
      <c r="F282" s="40" t="s">
        <v>295</v>
      </c>
      <c r="G282" s="353"/>
      <c r="H282" s="93" t="str">
        <f t="shared" si="191"/>
        <v>胡蘿蔔</v>
      </c>
      <c r="I282" s="86">
        <f>IFERROR(IF(LEN(D282)=LENB(D282),ROUND(LEFT(D282,2*LEN(D282)-LENB(D282))/$A$1,3),((ROUND(LEFT(D282,2*LEN(D282)-LENB(D282))/$A$1,3))*VLOOKUP(H282,食材表!$A:$B,2,FALSE))),"")</f>
        <v>4.0000000000000001E-3</v>
      </c>
      <c r="J282" s="93" t="str">
        <f t="shared" si="192"/>
        <v>番茄醬</v>
      </c>
      <c r="K282" s="86" t="str">
        <f>IFERROR(IF(LEN(F282)=LENB(F282),ROUND(LEFT(F282,2*LEN(F282)-LENB(F282))/$A$1,3),((ROUND(LEFT(F282,2*LEN(F282)-LENB(F282))/$A$1,3))*VLOOKUP(J282,食材表!$A:$B,2,FALSE))),"")</f>
        <v/>
      </c>
      <c r="L282" s="343"/>
      <c r="M282" s="343"/>
      <c r="N282" s="343"/>
      <c r="O282" s="343"/>
      <c r="P282" s="343"/>
      <c r="Q282" s="343"/>
      <c r="R282" s="343"/>
      <c r="S282" s="343"/>
    </row>
    <row r="283" spans="1:19">
      <c r="A283" s="33" t="str">
        <f>"3"&amp;+$B281</f>
        <v>3義式田園蔬菜湯</v>
      </c>
      <c r="B283" s="351"/>
      <c r="C283" s="28" t="s">
        <v>163</v>
      </c>
      <c r="D283" s="8">
        <v>0.6</v>
      </c>
      <c r="E283" s="28" t="s">
        <v>1111</v>
      </c>
      <c r="F283" s="81" t="s">
        <v>295</v>
      </c>
      <c r="G283" s="354"/>
      <c r="H283" s="92" t="str">
        <f t="shared" si="191"/>
        <v>馬鈴薯</v>
      </c>
      <c r="I283" s="84">
        <f>IFERROR(IF(LEN(D283)=LENB(D283),ROUND(LEFT(D283,2*LEN(D283)-LENB(D283))/$A$1,3),((ROUND(LEFT(D283,2*LEN(D283)-LENB(D283))/$A$1,3))*VLOOKUP(H283,食材表!$A:$B,2,FALSE))),"")</f>
        <v>1.2E-2</v>
      </c>
      <c r="J283" s="92" t="str">
        <f t="shared" si="192"/>
        <v>義大利香料</v>
      </c>
      <c r="K283" s="85" t="str">
        <f>IFERROR(IF(LEN(F283)=LENB(F283),ROUND(LEFT(F283,2*LEN(F283)-LENB(F283))/$A$1,3),((ROUND(LEFT(F283,2*LEN(F283)-LENB(F283))/$A$1,3))*VLOOKUP(J283,食材表!$A:$B,2,FALSE))),"")</f>
        <v/>
      </c>
      <c r="L283" s="344"/>
      <c r="M283" s="344"/>
      <c r="N283" s="344"/>
      <c r="O283" s="344"/>
      <c r="P283" s="344"/>
      <c r="Q283" s="344"/>
      <c r="R283" s="344"/>
      <c r="S283" s="344"/>
    </row>
    <row r="284" spans="1:19">
      <c r="A284" s="33" t="str">
        <f>"1"&amp;+$B284</f>
        <v>1茄汁蔬菜湯</v>
      </c>
      <c r="B284" s="359" t="s">
        <v>158</v>
      </c>
      <c r="C284" s="60" t="s">
        <v>159</v>
      </c>
      <c r="D284" s="59" t="s">
        <v>986</v>
      </c>
      <c r="E284" s="60" t="s">
        <v>160</v>
      </c>
      <c r="F284" s="36">
        <v>0.6</v>
      </c>
      <c r="G284" s="352" t="str">
        <f>B284</f>
        <v>茄汁蔬菜湯</v>
      </c>
      <c r="H284" s="91" t="str">
        <f t="shared" si="191"/>
        <v>番茄糊</v>
      </c>
      <c r="I284" s="83">
        <f>IFERROR(IF(LEN(D284)=LENB(D284),ROUND(LEFT(D284,2*LEN(D284)-LENB(D284))/$A$1,3),((ROUND(LEFT(D284,2*LEN(D284)-LENB(D284))/$A$1,3))*VLOOKUP(H284,食材表!$A:$B,2,FALSE))),"")</f>
        <v>2.7999999999999997E-2</v>
      </c>
      <c r="J284" s="91" t="str">
        <f t="shared" si="192"/>
        <v>胡蘿蔔</v>
      </c>
      <c r="K284" s="83">
        <f>IFERROR(IF(LEN(F284)=LENB(F284),ROUND(LEFT(F284,2*LEN(F284)-LENB(F284))/$A$1,3),((ROUND(LEFT(F284,2*LEN(F284)-LENB(F284))/$A$1,3))*VLOOKUP(J284,食材表!$A:$B,2,FALSE))),"")</f>
        <v>1.2E-2</v>
      </c>
      <c r="L284" s="342">
        <f>IFERROR($I284*VLOOKUP($H284,食材表!$A:C,3,FALSE),0)+IFERROR($I285*VLOOKUP($H285,食材表!$A:C,3,FALSE),0)+IFERROR($I286*VLOOKUP($H286,食材表!$A:C,3,FALSE),0)+IFERROR($K284*VLOOKUP($J284,食材表!$A:C,3,FALSE),0)+IFERROR($K285*VLOOKUP($J285,食材表!$A:C,3,FALSE),0)+IFERROR($K286*VLOOKUP($J286,食材表!$A:C,3,FALSE),0)</f>
        <v>0</v>
      </c>
      <c r="M284" s="342">
        <f>IFERROR($I284*VLOOKUP($H284,食材表!$A:D,4,FALSE),0)+IFERROR($I285*VLOOKUP($H285,食材表!$A:D,4,FALSE),0)+IFERROR($I286*VLOOKUP($H286,食材表!$A:D,4,FALSE),0)+IFERROR($K284*VLOOKUP($J284,食材表!$A:D,4,FALSE),0)+IFERROR($K285*VLOOKUP($J285,食材表!$A:D,4,FALSE),0)+IFERROR($K286*VLOOKUP($J286,食材表!$A:D,4,FALSE),0)</f>
        <v>0.34285714285714286</v>
      </c>
      <c r="N284" s="342">
        <f>IFERROR($I284*VLOOKUP($H284,食材表!$A:E,5,FALSE),0)+IFERROR($I285*VLOOKUP($H285,食材表!$A:E,5,FALSE),0)+IFERROR($I286*VLOOKUP($H286,食材表!$A:E,5,FALSE),0)+IFERROR($K284*VLOOKUP($J284,食材表!$A:E,5,FALSE),0)+IFERROR($K285*VLOOKUP($J285,食材表!$A:E,5,FALSE),0)+IFERROR($K286*VLOOKUP($J286,食材表!$A:E,5,FALSE),0)</f>
        <v>0</v>
      </c>
      <c r="O284" s="342">
        <f>IFERROR($I284*VLOOKUP($H284,食材表!$A:F,6,FALSE),0)+IFERROR($I285*VLOOKUP($H285,食材表!$A:F,6,FALSE),0)+IFERROR($I286*VLOOKUP($H286,食材表!$A:F,6,FALSE),0)+IFERROR($K284*VLOOKUP($J284,食材表!$A:F,6,FALSE),0)+IFERROR($K285*VLOOKUP($J285,食材表!$A:F,6,FALSE),0)+IFERROR($K286*VLOOKUP($J286,食材表!$A:F,6,FALSE),0)</f>
        <v>0.62</v>
      </c>
      <c r="P284" s="342">
        <f>IFERROR($I284*VLOOKUP($H284,食材表!$A:G,7,FALSE),0)+IFERROR($I285*VLOOKUP($H285,食材表!$A:G,7,FALSE),0)+IFERROR($I286*VLOOKUP($H286,食材表!$A:G,7,FALSE),0)+IFERROR($K284*VLOOKUP($J284,食材表!$A:G,7,FALSE),0)+IFERROR($K285*VLOOKUP($J285,食材表!$A:G,7,FALSE),0)+IFERROR($K286*VLOOKUP($J286,食材表!$A:G,7,FALSE),0)</f>
        <v>0</v>
      </c>
      <c r="Q284" s="342">
        <f>IFERROR($I284*VLOOKUP($H284,食材表!$A:H,8,FALSE),0)+IFERROR($I285*VLOOKUP($H285,食材表!$A:H,8,FALSE),0)+IFERROR($I286*VLOOKUP($H286,食材表!$A:H,8,FALSE),0)+IFERROR($K284*VLOOKUP($J284,食材表!$A:H,8,FALSE),0)+IFERROR($K285*VLOOKUP($J285,食材表!$A:H,8,FALSE),0)+IFERROR($K286*VLOOKUP($J286,食材表!$A:H,8,FALSE),0)</f>
        <v>0</v>
      </c>
      <c r="R284" s="342">
        <f>IFERROR($I284*VLOOKUP($H284,食材表!$A:I,9,FALSE),0)+IFERROR($I285*VLOOKUP($H285,食材表!$A:I,9,FALSE),0)+IFERROR($I286*VLOOKUP($H286,食材表!$A:I,9,FALSE),0)+IFERROR($K284*VLOOKUP($J284,食材表!$A:I,9,FALSE),0)+IFERROR($K285*VLOOKUP($J285,食材表!$A:I,9,FALSE),0)+IFERROR($K286*VLOOKUP($J286,食材表!$A:I,9,FALSE),0)</f>
        <v>0</v>
      </c>
      <c r="S284" s="342">
        <f>SUM(L284*70+M284*75+N284*120+O284*25+P284*60+Q284*45+R284*4)</f>
        <v>41.214285714285715</v>
      </c>
    </row>
    <row r="285" spans="1:19">
      <c r="A285" s="33" t="str">
        <f>"2"&amp;+$B284</f>
        <v>2茄汁蔬菜湯</v>
      </c>
      <c r="B285" s="360"/>
      <c r="C285" s="22" t="s">
        <v>161</v>
      </c>
      <c r="D285" s="36">
        <v>1</v>
      </c>
      <c r="E285" s="22" t="s">
        <v>162</v>
      </c>
      <c r="F285" s="36">
        <v>0.6</v>
      </c>
      <c r="G285" s="353"/>
      <c r="H285" s="93" t="str">
        <f t="shared" ref="H285:H286" si="196">C285</f>
        <v>洋蔥</v>
      </c>
      <c r="I285" s="86">
        <f>IFERROR(IF(LEN(D285)=LENB(D285),ROUND(LEFT(D285,2*LEN(D285)-LENB(D285))/$A$1,3),((ROUND(LEFT(D285,2*LEN(D285)-LENB(D285))/$A$1,3))*VLOOKUP(H285,食材表!$A:$B,2,FALSE))),"")</f>
        <v>0.02</v>
      </c>
      <c r="J285" s="93" t="str">
        <f t="shared" ref="J285:J286" si="197">E285</f>
        <v>肉片</v>
      </c>
      <c r="K285" s="86">
        <f>IFERROR(IF(LEN(F285)=LENB(F285),ROUND(LEFT(F285,2*LEN(F285)-LENB(F285))/$A$1,3),((ROUND(LEFT(F285,2*LEN(F285)-LENB(F285))/$A$1,3))*VLOOKUP(J285,食材表!$A:$B,2,FALSE))),"")</f>
        <v>1.2E-2</v>
      </c>
      <c r="L285" s="343"/>
      <c r="M285" s="343"/>
      <c r="N285" s="343"/>
      <c r="O285" s="343"/>
      <c r="P285" s="343"/>
      <c r="Q285" s="343"/>
      <c r="R285" s="343"/>
      <c r="S285" s="343"/>
    </row>
    <row r="286" spans="1:19">
      <c r="A286" s="33" t="str">
        <f>"3"&amp;+$B284</f>
        <v>3茄汁蔬菜湯</v>
      </c>
      <c r="B286" s="361"/>
      <c r="C286" s="26" t="s">
        <v>46</v>
      </c>
      <c r="D286" s="37">
        <v>1.5</v>
      </c>
      <c r="E286" s="26"/>
      <c r="F286" s="37"/>
      <c r="G286" s="354"/>
      <c r="H286" s="92" t="str">
        <f t="shared" si="196"/>
        <v>高麗菜</v>
      </c>
      <c r="I286" s="84">
        <f>IFERROR(IF(LEN(D286)=LENB(D286),ROUND(LEFT(D286,2*LEN(D286)-LENB(D286))/$A$1,3),((ROUND(LEFT(D286,2*LEN(D286)-LENB(D286))/$A$1,3))*VLOOKUP(H286,食材表!$A:$B,2,FALSE))),"")</f>
        <v>0.03</v>
      </c>
      <c r="J286" s="92">
        <f t="shared" si="197"/>
        <v>0</v>
      </c>
      <c r="K286" s="85" t="str">
        <f>IFERROR(IF(LEN(F286)=LENB(F286),ROUND(LEFT(F286,2*LEN(F286)-LENB(F286))/$A$1,3),((ROUND(LEFT(F286,2*LEN(F286)-LENB(F286))/$A$1,3))*VLOOKUP(J286,食材表!$A:$B,2,FALSE))),"")</f>
        <v/>
      </c>
      <c r="L286" s="344"/>
      <c r="M286" s="344"/>
      <c r="N286" s="344"/>
      <c r="O286" s="344"/>
      <c r="P286" s="344"/>
      <c r="Q286" s="344"/>
      <c r="R286" s="344"/>
      <c r="S286" s="344"/>
    </row>
    <row r="287" spans="1:19">
      <c r="A287" s="33" t="str">
        <f>"1"&amp;+$B287</f>
        <v>1玉米排骨湯</v>
      </c>
      <c r="B287" s="371" t="s">
        <v>1045</v>
      </c>
      <c r="C287" s="90" t="s">
        <v>335</v>
      </c>
      <c r="D287" s="59">
        <v>2.6</v>
      </c>
      <c r="E287" s="60"/>
      <c r="F287" s="36"/>
      <c r="G287" s="352" t="str">
        <f>B287</f>
        <v>玉米排骨湯</v>
      </c>
      <c r="H287" s="91" t="str">
        <f>C287</f>
        <v>小排丁</v>
      </c>
      <c r="I287" s="83">
        <f>IFERROR(IF(LEN(D287)=LENB(D287),ROUND(LEFT(D287,2*LEN(D287)-LENB(D287))/$A$1,3),((ROUND(LEFT(D287,2*LEN(D287)-LENB(D287))/$A$1,3))*VLOOKUP(H287,食材表!$A:$B,2,FALSE))),"")</f>
        <v>5.1999999999999998E-2</v>
      </c>
      <c r="J287" s="91">
        <f>E287</f>
        <v>0</v>
      </c>
      <c r="K287" s="83" t="str">
        <f>IFERROR(IF(LEN(F287)=LENB(F287),ROUND(LEFT(F287,2*LEN(F287)-LENB(F287))/$A$1,3),((ROUND(LEFT(F287,2*LEN(F287)-LENB(F287))/$A$1,3))*VLOOKUP(J287,食材表!$A:$B,2,FALSE))),"")</f>
        <v/>
      </c>
      <c r="L287" s="342">
        <f>IFERROR($I287*VLOOKUP($H287,食材表!$A:C,3,FALSE),0)+IFERROR($I288*VLOOKUP($H288,食材表!$A:C,3,FALSE),0)+IFERROR($I289*VLOOKUP($H289,食材表!$A:C,3,FALSE),0)+IFERROR($K287*VLOOKUP($J287,食材表!$A:C,3,FALSE),0)+IFERROR($K288*VLOOKUP($J288,食材表!$A:C,3,FALSE),0)+IFERROR($K289*VLOOKUP($J289,食材表!$A:C,3,FALSE),0)</f>
        <v>0</v>
      </c>
      <c r="M287" s="342">
        <f>IFERROR($I287*VLOOKUP($H287,食材表!$A:D,4,FALSE),0)+IFERROR($I288*VLOOKUP($H288,食材表!$A:D,4,FALSE),0)+IFERROR($I289*VLOOKUP($H289,食材表!$A:D,4,FALSE),0)+IFERROR($K287*VLOOKUP($J287,食材表!$A:D,4,FALSE),0)+IFERROR($K288*VLOOKUP($J288,食材表!$A:D,4,FALSE),0)+IFERROR($K289*VLOOKUP($J289,食材表!$A:D,4,FALSE),0)</f>
        <v>0.89655172413793105</v>
      </c>
      <c r="N287" s="342">
        <f>IFERROR($I287*VLOOKUP($H287,食材表!$A:E,5,FALSE),0)+IFERROR($I288*VLOOKUP($H288,食材表!$A:E,5,FALSE),0)+IFERROR($I289*VLOOKUP($H289,食材表!$A:E,5,FALSE),0)+IFERROR($K287*VLOOKUP($J287,食材表!$A:E,5,FALSE),0)+IFERROR($K288*VLOOKUP($J288,食材表!$A:E,5,FALSE),0)+IFERROR($K289*VLOOKUP($J289,食材表!$A:E,5,FALSE),0)</f>
        <v>0</v>
      </c>
      <c r="O287" s="342">
        <f>IFERROR($I287*VLOOKUP($H287,食材表!$A:F,6,FALSE),0)+IFERROR($I288*VLOOKUP($H288,食材表!$A:F,6,FALSE),0)+IFERROR($I289*VLOOKUP($H289,食材表!$A:F,6,FALSE),0)+IFERROR($K287*VLOOKUP($J287,食材表!$A:F,6,FALSE),0)+IFERROR($K288*VLOOKUP($J288,食材表!$A:F,6,FALSE),0)+IFERROR($K289*VLOOKUP($J289,食材表!$A:F,6,FALSE),0)</f>
        <v>0.02</v>
      </c>
      <c r="P287" s="342">
        <f>IFERROR($I287*VLOOKUP($H287,食材表!$A:G,7,FALSE),0)+IFERROR($I288*VLOOKUP($H288,食材表!$A:G,7,FALSE),0)+IFERROR($I289*VLOOKUP($H289,食材表!$A:G,7,FALSE),0)+IFERROR($K287*VLOOKUP($J287,食材表!$A:G,7,FALSE),0)+IFERROR($K288*VLOOKUP($J288,食材表!$A:G,7,FALSE),0)+IFERROR($K289*VLOOKUP($J289,食材表!$A:G,7,FALSE),0)</f>
        <v>0</v>
      </c>
      <c r="Q287" s="342">
        <f>IFERROR($I287*VLOOKUP($H287,食材表!$A:H,8,FALSE),0)+IFERROR($I288*VLOOKUP($H288,食材表!$A:H,8,FALSE),0)+IFERROR($I289*VLOOKUP($H289,食材表!$A:H,8,FALSE),0)+IFERROR($K287*VLOOKUP($J287,食材表!$A:H,8,FALSE),0)+IFERROR($K288*VLOOKUP($J288,食材表!$A:H,8,FALSE),0)+IFERROR($K289*VLOOKUP($J289,食材表!$A:H,8,FALSE),0)</f>
        <v>0</v>
      </c>
      <c r="R287" s="342">
        <f>IFERROR($I287*VLOOKUP($H287,食材表!$A:I,9,FALSE),0)+IFERROR($I288*VLOOKUP($H288,食材表!$A:I,9,FALSE),0)+IFERROR($I289*VLOOKUP($H289,食材表!$A:I,9,FALSE),0)+IFERROR($K287*VLOOKUP($J287,食材表!$A:I,9,FALSE),0)+IFERROR($K288*VLOOKUP($J288,食材表!$A:I,9,FALSE),0)+IFERROR($K289*VLOOKUP($J289,食材表!$A:I,9,FALSE),0)</f>
        <v>0</v>
      </c>
      <c r="S287" s="342">
        <f>SUM(L287*70+M287*75+N287*120+O287*25+P287*60+Q287*45+R287*4)</f>
        <v>67.741379310344826</v>
      </c>
    </row>
    <row r="288" spans="1:19">
      <c r="A288" s="33" t="str">
        <f>"2"&amp;+$B287</f>
        <v>2玉米排骨湯</v>
      </c>
      <c r="B288" s="372"/>
      <c r="C288" s="143" t="s">
        <v>1046</v>
      </c>
      <c r="D288" s="36" t="s">
        <v>1047</v>
      </c>
      <c r="E288" s="22"/>
      <c r="F288" s="36"/>
      <c r="G288" s="353"/>
      <c r="H288" s="93" t="str">
        <f t="shared" ref="H288:H289" si="198">C288</f>
        <v>新鮮玉米</v>
      </c>
      <c r="I288" s="86" t="str">
        <f>IFERROR(IF(LEN(D288)=LENB(D288),ROUND(LEFT(D288,2*LEN(D288)-LENB(D288))/$A$1,3),((ROUND(LEFT(D288,2*LEN(D288)-LENB(D288))/$A$1,3))*VLOOKUP(H288,食材表!$A:$B,2,FALSE))),"")</f>
        <v/>
      </c>
      <c r="J288" s="93">
        <f t="shared" ref="J288:J289" si="199">E288</f>
        <v>0</v>
      </c>
      <c r="K288" s="86" t="str">
        <f>IFERROR(IF(LEN(F288)=LENB(F288),ROUND(LEFT(F288,2*LEN(F288)-LENB(F288))/$A$1,3),((ROUND(LEFT(F288,2*LEN(F288)-LENB(F288))/$A$1,3))*VLOOKUP(J288,食材表!$A:$B,2,FALSE))),"")</f>
        <v/>
      </c>
      <c r="L288" s="343"/>
      <c r="M288" s="343"/>
      <c r="N288" s="343"/>
      <c r="O288" s="343"/>
      <c r="P288" s="343"/>
      <c r="Q288" s="343"/>
      <c r="R288" s="343"/>
      <c r="S288" s="343"/>
    </row>
    <row r="289" spans="1:19">
      <c r="A289" s="33" t="str">
        <f>"3"&amp;+$B287</f>
        <v>3玉米排骨湯</v>
      </c>
      <c r="B289" s="373"/>
      <c r="C289" s="26" t="s">
        <v>320</v>
      </c>
      <c r="D289" s="37">
        <v>0.1</v>
      </c>
      <c r="E289" s="26"/>
      <c r="F289" s="37"/>
      <c r="G289" s="354"/>
      <c r="H289" s="92" t="str">
        <f t="shared" si="198"/>
        <v>香菜</v>
      </c>
      <c r="I289" s="84">
        <f>IFERROR(IF(LEN(D289)=LENB(D289),ROUND(LEFT(D289,2*LEN(D289)-LENB(D289))/$A$1,3),((ROUND(LEFT(D289,2*LEN(D289)-LENB(D289))/$A$1,3))*VLOOKUP(H289,食材表!$A:$B,2,FALSE))),"")</f>
        <v>2E-3</v>
      </c>
      <c r="J289" s="92">
        <f t="shared" si="199"/>
        <v>0</v>
      </c>
      <c r="K289" s="85" t="str">
        <f>IFERROR(IF(LEN(F289)=LENB(F289),ROUND(LEFT(F289,2*LEN(F289)-LENB(F289))/$A$1,3),((ROUND(LEFT(F289,2*LEN(F289)-LENB(F289))/$A$1,3))*VLOOKUP(J289,食材表!$A:$B,2,FALSE))),"")</f>
        <v/>
      </c>
      <c r="L289" s="344"/>
      <c r="M289" s="344"/>
      <c r="N289" s="344"/>
      <c r="O289" s="344"/>
      <c r="P289" s="344"/>
      <c r="Q289" s="344"/>
      <c r="R289" s="344"/>
      <c r="S289" s="344"/>
    </row>
    <row r="290" spans="1:19">
      <c r="A290" s="33" t="str">
        <f>"1"&amp;+$B290</f>
        <v>1青木瓜排骨湯</v>
      </c>
      <c r="B290" s="349" t="s">
        <v>989</v>
      </c>
      <c r="C290" s="60" t="s">
        <v>990</v>
      </c>
      <c r="D290" s="150">
        <v>3</v>
      </c>
      <c r="E290" s="60"/>
      <c r="F290" s="36"/>
      <c r="G290" s="352" t="str">
        <f>B290</f>
        <v>青木瓜排骨湯</v>
      </c>
      <c r="H290" s="91" t="str">
        <f>C290</f>
        <v>青木瓜</v>
      </c>
      <c r="I290" s="83">
        <f>IFERROR(IF(LEN(D290)=LENB(D290),ROUND(LEFT(D290,2*LEN(D290)-LENB(D290))/$A$1,3),((ROUND(LEFT(D290,2*LEN(D290)-LENB(D290))/$A$1,3))*VLOOKUP(H290,食材表!$A:$B,2,FALSE))),"")</f>
        <v>0.06</v>
      </c>
      <c r="J290" s="91">
        <f>E290</f>
        <v>0</v>
      </c>
      <c r="K290" s="83" t="str">
        <f>IFERROR(IF(LEN(F290)=LENB(F290),ROUND(LEFT(F290,2*LEN(F290)-LENB(F290))/$A$1,3),((ROUND(LEFT(F290,2*LEN(F290)-LENB(F290))/$A$1,3))*VLOOKUP(J290,食材表!$A:$B,2,FALSE))),"")</f>
        <v/>
      </c>
      <c r="L290" s="342">
        <f>IFERROR($I290*VLOOKUP($H290,食材表!$A:C,3,FALSE),0)+IFERROR($I291*VLOOKUP($H291,食材表!$A:C,3,FALSE),0)+IFERROR($I292*VLOOKUP($H292,食材表!$A:C,3,FALSE),0)+IFERROR($K290*VLOOKUP($J290,食材表!$A:C,3,FALSE),0)+IFERROR($K291*VLOOKUP($J291,食材表!$A:C,3,FALSE),0)+IFERROR($K292*VLOOKUP($J292,食材表!$A:C,3,FALSE),0)</f>
        <v>0</v>
      </c>
      <c r="M290" s="342">
        <f>IFERROR($I290*VLOOKUP($H290,食材表!$A:D,4,FALSE),0)+IFERROR($I291*VLOOKUP($H291,食材表!$A:D,4,FALSE),0)+IFERROR($I292*VLOOKUP($H292,食材表!$A:D,4,FALSE),0)+IFERROR($K290*VLOOKUP($J290,食材表!$A:D,4,FALSE),0)+IFERROR($K291*VLOOKUP($J291,食材表!$A:D,4,FALSE),0)+IFERROR($K292*VLOOKUP($J292,食材表!$A:D,4,FALSE),0)</f>
        <v>0.9655172413793105</v>
      </c>
      <c r="N290" s="342">
        <f>IFERROR($I290*VLOOKUP($H290,食材表!$A:E,5,FALSE),0)+IFERROR($I291*VLOOKUP($H291,食材表!$A:E,5,FALSE),0)+IFERROR($I292*VLOOKUP($H292,食材表!$A:E,5,FALSE),0)+IFERROR($K290*VLOOKUP($J290,食材表!$A:E,5,FALSE),0)+IFERROR($K291*VLOOKUP($J291,食材表!$A:E,5,FALSE),0)+IFERROR($K292*VLOOKUP($J292,食材表!$A:E,5,FALSE),0)</f>
        <v>0</v>
      </c>
      <c r="O290" s="342">
        <f>IFERROR($I290*VLOOKUP($H290,食材表!$A:F,6,FALSE),0)+IFERROR($I291*VLOOKUP($H291,食材表!$A:F,6,FALSE),0)+IFERROR($I292*VLOOKUP($H292,食材表!$A:F,6,FALSE),0)+IFERROR($K290*VLOOKUP($J290,食材表!$A:F,6,FALSE),0)+IFERROR($K291*VLOOKUP($J291,食材表!$A:F,6,FALSE),0)+IFERROR($K292*VLOOKUP($J292,食材表!$A:F,6,FALSE),0)</f>
        <v>0.06</v>
      </c>
      <c r="P290" s="342">
        <f>IFERROR($I290*VLOOKUP($H290,食材表!$A:G,7,FALSE),0)+IFERROR($I291*VLOOKUP($H291,食材表!$A:G,7,FALSE),0)+IFERROR($I292*VLOOKUP($H292,食材表!$A:G,7,FALSE),0)+IFERROR($K290*VLOOKUP($J290,食材表!$A:G,7,FALSE),0)+IFERROR($K291*VLOOKUP($J291,食材表!$A:G,7,FALSE),0)+IFERROR($K292*VLOOKUP($J292,食材表!$A:G,7,FALSE),0)</f>
        <v>0</v>
      </c>
      <c r="Q290" s="342">
        <f>IFERROR($I290*VLOOKUP($H290,食材表!$A:H,8,FALSE),0)+IFERROR($I291*VLOOKUP($H291,食材表!$A:H,8,FALSE),0)+IFERROR($I292*VLOOKUP($H292,食材表!$A:H,8,FALSE),0)+IFERROR($K290*VLOOKUP($J290,食材表!$A:H,8,FALSE),0)+IFERROR($K291*VLOOKUP($J291,食材表!$A:H,8,FALSE),0)+IFERROR($K292*VLOOKUP($J292,食材表!$A:H,8,FALSE),0)</f>
        <v>0</v>
      </c>
      <c r="R290" s="342">
        <f>IFERROR($I290*VLOOKUP($H290,食材表!$A:I,9,FALSE),0)+IFERROR($I291*VLOOKUP($H291,食材表!$A:I,9,FALSE),0)+IFERROR($I292*VLOOKUP($H292,食材表!$A:I,9,FALSE),0)+IFERROR($K290*VLOOKUP($J290,食材表!$A:I,9,FALSE),0)+IFERROR($K291*VLOOKUP($J291,食材表!$A:I,9,FALSE),0)+IFERROR($K292*VLOOKUP($J292,食材表!$A:I,9,FALSE),0)</f>
        <v>0</v>
      </c>
      <c r="S290" s="342">
        <f>SUM(L290*70+M290*75+N290*120+O290*25+P290*60+Q290*45+R290*4)</f>
        <v>73.913793103448285</v>
      </c>
    </row>
    <row r="291" spans="1:19">
      <c r="A291" s="33" t="str">
        <f>"2"&amp;+$B290</f>
        <v>2青木瓜排骨湯</v>
      </c>
      <c r="B291" s="350"/>
      <c r="C291" s="22" t="s">
        <v>105</v>
      </c>
      <c r="D291" s="151">
        <v>2.8</v>
      </c>
      <c r="E291" s="22"/>
      <c r="F291" s="36"/>
      <c r="G291" s="353"/>
      <c r="H291" s="93" t="str">
        <f t="shared" ref="H291:H292" si="200">C291</f>
        <v>小排丁</v>
      </c>
      <c r="I291" s="86">
        <f>IFERROR(IF(LEN(D291)=LENB(D291),ROUND(LEFT(D291,2*LEN(D291)-LENB(D291))/$A$1,3),((ROUND(LEFT(D291,2*LEN(D291)-LENB(D291))/$A$1,3))*VLOOKUP(H291,食材表!$A:$B,2,FALSE))),"")</f>
        <v>5.6000000000000001E-2</v>
      </c>
      <c r="J291" s="93">
        <f t="shared" ref="J291:J292" si="201">E291</f>
        <v>0</v>
      </c>
      <c r="K291" s="86" t="str">
        <f>IFERROR(IF(LEN(F291)=LENB(F291),ROUND(LEFT(F291,2*LEN(F291)-LENB(F291))/$A$1,3),((ROUND(LEFT(F291,2*LEN(F291)-LENB(F291))/$A$1,3))*VLOOKUP(J291,食材表!$A:$B,2,FALSE))),"")</f>
        <v/>
      </c>
      <c r="L291" s="343"/>
      <c r="M291" s="343"/>
      <c r="N291" s="343"/>
      <c r="O291" s="343"/>
      <c r="P291" s="343"/>
      <c r="Q291" s="343"/>
      <c r="R291" s="343"/>
      <c r="S291" s="343"/>
    </row>
    <row r="292" spans="1:19">
      <c r="A292" s="33" t="str">
        <f>"3"&amp;+$B290</f>
        <v>3青木瓜排骨湯</v>
      </c>
      <c r="B292" s="351"/>
      <c r="C292" s="26" t="s">
        <v>75</v>
      </c>
      <c r="D292" s="37">
        <v>0.3</v>
      </c>
      <c r="E292" s="26"/>
      <c r="F292" s="37"/>
      <c r="G292" s="354"/>
      <c r="H292" s="92" t="str">
        <f t="shared" si="200"/>
        <v>紅蘿蔔</v>
      </c>
      <c r="I292" s="84">
        <f>IFERROR(IF(LEN(D292)=LENB(D292),ROUND(LEFT(D292,2*LEN(D292)-LENB(D292))/$A$1,3),((ROUND(LEFT(D292,2*LEN(D292)-LENB(D292))/$A$1,3))*VLOOKUP(H292,食材表!$A:$B,2,FALSE))),"")</f>
        <v>6.0000000000000001E-3</v>
      </c>
      <c r="J292" s="92">
        <f t="shared" si="201"/>
        <v>0</v>
      </c>
      <c r="K292" s="85" t="str">
        <f>IFERROR(IF(LEN(F292)=LENB(F292),ROUND(LEFT(F292,2*LEN(F292)-LENB(F292))/$A$1,3),((ROUND(LEFT(F292,2*LEN(F292)-LENB(F292))/$A$1,3))*VLOOKUP(J292,食材表!$A:$B,2,FALSE))),"")</f>
        <v/>
      </c>
      <c r="L292" s="344"/>
      <c r="M292" s="344"/>
      <c r="N292" s="344"/>
      <c r="O292" s="344"/>
      <c r="P292" s="344"/>
      <c r="Q292" s="344"/>
      <c r="R292" s="344"/>
      <c r="S292" s="344"/>
    </row>
    <row r="293" spans="1:19">
      <c r="A293" s="33" t="str">
        <f>"1"&amp;+$B293</f>
        <v>1麻油高麗菜肉片湯</v>
      </c>
      <c r="B293" s="349" t="s">
        <v>1181</v>
      </c>
      <c r="C293" s="60" t="s">
        <v>46</v>
      </c>
      <c r="D293" s="59">
        <v>3</v>
      </c>
      <c r="E293" s="60" t="s">
        <v>294</v>
      </c>
      <c r="F293" s="36" t="s">
        <v>295</v>
      </c>
      <c r="G293" s="352" t="str">
        <f>B293</f>
        <v>麻油高麗菜肉片湯</v>
      </c>
      <c r="H293" s="91" t="str">
        <f>C293</f>
        <v>高麗菜</v>
      </c>
      <c r="I293" s="83">
        <f>IFERROR(IF(LEN(D293)=LENB(D293),ROUND(LEFT(D293,2*LEN(D293)-LENB(D293))/$A$1,3),((ROUND(LEFT(D293,2*LEN(D293)-LENB(D293))/$A$1,3))*VLOOKUP(H293,食材表!$A:$B,2,FALSE))),"")</f>
        <v>0.06</v>
      </c>
      <c r="J293" s="91" t="str">
        <f>E293</f>
        <v>麻油</v>
      </c>
      <c r="K293" s="83">
        <f>IFERROR(IF(LEN(F293)=LENB(F293),ROUND(LEFT(F293,2*LEN(F293)-LENB(F293))/$A$1,3),((ROUND(LEFT(F293,2*LEN(F293)-LENB(F293))/$A$1,3))*VLOOKUP(J293,食材表!$A:$B,2,FALSE))),"")</f>
        <v>0.01</v>
      </c>
      <c r="L293" s="342">
        <f>IFERROR($I293*VLOOKUP($H293,食材表!$A:C,3,FALSE),0)+IFERROR($I294*VLOOKUP($H294,食材表!$A:C,3,FALSE),0)+IFERROR($I295*VLOOKUP($H295,食材表!$A:C,3,FALSE),0)+IFERROR($K293*VLOOKUP($J293,食材表!$A:C,3,FALSE),0)+IFERROR($K294*VLOOKUP($J294,食材表!$A:C,3,FALSE),0)+IFERROR($K295*VLOOKUP($J295,食材表!$A:C,3,FALSE),0)</f>
        <v>0</v>
      </c>
      <c r="M293" s="342">
        <f>IFERROR($I293*VLOOKUP($H293,食材表!$A:D,4,FALSE),0)+IFERROR($I294*VLOOKUP($H294,食材表!$A:D,4,FALSE),0)+IFERROR($I295*VLOOKUP($H295,食材表!$A:D,4,FALSE),0)+IFERROR($K293*VLOOKUP($J293,食材表!$A:D,4,FALSE),0)+IFERROR($K294*VLOOKUP($J294,食材表!$A:D,4,FALSE),0)+IFERROR($K295*VLOOKUP($J295,食材表!$A:D,4,FALSE),0)</f>
        <v>0.34285714285714286</v>
      </c>
      <c r="N293" s="342">
        <f>IFERROR($I293*VLOOKUP($H293,食材表!$A:E,5,FALSE),0)+IFERROR($I294*VLOOKUP($H294,食材表!$A:E,5,FALSE),0)+IFERROR($I295*VLOOKUP($H295,食材表!$A:E,5,FALSE),0)+IFERROR($K293*VLOOKUP($J293,食材表!$A:E,5,FALSE),0)+IFERROR($K294*VLOOKUP($J294,食材表!$A:E,5,FALSE),0)+IFERROR($K295*VLOOKUP($J295,食材表!$A:E,5,FALSE),0)</f>
        <v>0</v>
      </c>
      <c r="O293" s="342">
        <f>IFERROR($I293*VLOOKUP($H293,食材表!$A:F,6,FALSE),0)+IFERROR($I294*VLOOKUP($H294,食材表!$A:F,6,FALSE),0)+IFERROR($I295*VLOOKUP($H295,食材表!$A:F,6,FALSE),0)+IFERROR($K293*VLOOKUP($J293,食材表!$A:F,6,FALSE),0)+IFERROR($K294*VLOOKUP($J294,食材表!$A:F,6,FALSE),0)+IFERROR($K295*VLOOKUP($J295,食材表!$A:F,6,FALSE),0)</f>
        <v>0.62</v>
      </c>
      <c r="P293" s="342">
        <f>IFERROR($I293*VLOOKUP($H293,食材表!$A:G,7,FALSE),0)+IFERROR($I294*VLOOKUP($H294,食材表!$A:G,7,FALSE),0)+IFERROR($I295*VLOOKUP($H295,食材表!$A:G,7,FALSE),0)+IFERROR($K293*VLOOKUP($J293,食材表!$A:G,7,FALSE),0)+IFERROR($K294*VLOOKUP($J294,食材表!$A:G,7,FALSE),0)+IFERROR($K295*VLOOKUP($J295,食材表!$A:G,7,FALSE),0)</f>
        <v>0</v>
      </c>
      <c r="Q293" s="342">
        <f>IFERROR($I293*VLOOKUP($H293,食材表!$A:H,8,FALSE),0)+IFERROR($I294*VLOOKUP($H294,食材表!$A:H,8,FALSE),0)+IFERROR($I295*VLOOKUP($H295,食材表!$A:H,8,FALSE),0)+IFERROR($K293*VLOOKUP($J293,食材表!$A:H,8,FALSE),0)+IFERROR($K294*VLOOKUP($J294,食材表!$A:H,8,FALSE),0)+IFERROR($K295*VLOOKUP($J295,食材表!$A:H,8,FALSE),0)</f>
        <v>0</v>
      </c>
      <c r="R293" s="342">
        <f>IFERROR($I293*VLOOKUP($H293,食材表!$A:I,9,FALSE),0)+IFERROR($I294*VLOOKUP($H294,食材表!$A:I,9,FALSE),0)+IFERROR($I295*VLOOKUP($H295,食材表!$A:I,9,FALSE),0)+IFERROR($K293*VLOOKUP($J293,食材表!$A:I,9,FALSE),0)+IFERROR($K294*VLOOKUP($J294,食材表!$A:I,9,FALSE),0)+IFERROR($K295*VLOOKUP($J295,食材表!$A:I,9,FALSE),0)</f>
        <v>0</v>
      </c>
      <c r="S293" s="342">
        <f>SUM(L293*70+M293*75+N293*120+O293*25+P293*60+Q293*45+R293*4)</f>
        <v>41.214285714285715</v>
      </c>
    </row>
    <row r="294" spans="1:19">
      <c r="A294" s="33" t="str">
        <f>"2"&amp;+$B293</f>
        <v>2麻油高麗菜肉片湯</v>
      </c>
      <c r="B294" s="350"/>
      <c r="C294" s="22" t="s">
        <v>162</v>
      </c>
      <c r="D294" s="36">
        <v>0.6</v>
      </c>
      <c r="E294" s="22"/>
      <c r="F294" s="36"/>
      <c r="G294" s="353"/>
      <c r="H294" s="93" t="str">
        <f t="shared" ref="H294:H295" si="202">C294</f>
        <v>肉片</v>
      </c>
      <c r="I294" s="86">
        <f>IFERROR(IF(LEN(D294)=LENB(D294),ROUND(LEFT(D294,2*LEN(D294)-LENB(D294))/$A$1,3),((ROUND(LEFT(D294,2*LEN(D294)-LENB(D294))/$A$1,3))*VLOOKUP(H294,食材表!$A:$B,2,FALSE))),"")</f>
        <v>1.2E-2</v>
      </c>
      <c r="J294" s="93">
        <f t="shared" ref="J294:J295" si="203">E294</f>
        <v>0</v>
      </c>
      <c r="K294" s="86" t="str">
        <f>IFERROR(IF(LEN(F294)=LENB(F294),ROUND(LEFT(F294,2*LEN(F294)-LENB(F294))/$A$1,3),((ROUND(LEFT(F294,2*LEN(F294)-LENB(F294))/$A$1,3))*VLOOKUP(J294,食材表!$A:$B,2,FALSE))),"")</f>
        <v/>
      </c>
      <c r="L294" s="343"/>
      <c r="M294" s="343"/>
      <c r="N294" s="343"/>
      <c r="O294" s="343"/>
      <c r="P294" s="343"/>
      <c r="Q294" s="343"/>
      <c r="R294" s="343"/>
      <c r="S294" s="343"/>
    </row>
    <row r="295" spans="1:19">
      <c r="A295" s="33" t="str">
        <f>"3"&amp;+$B293</f>
        <v>3麻油高麗菜肉片湯</v>
      </c>
      <c r="B295" s="351"/>
      <c r="C295" s="26" t="s">
        <v>276</v>
      </c>
      <c r="D295" s="37">
        <v>0.1</v>
      </c>
      <c r="E295" s="26"/>
      <c r="F295" s="37"/>
      <c r="G295" s="354"/>
      <c r="H295" s="92" t="str">
        <f t="shared" si="202"/>
        <v>嫩薑絲</v>
      </c>
      <c r="I295" s="84">
        <f>IFERROR(IF(LEN(D295)=LENB(D295),ROUND(LEFT(D295,2*LEN(D295)-LENB(D295))/$A$1,3),((ROUND(LEFT(D295,2*LEN(D295)-LENB(D295))/$A$1,3))*VLOOKUP(H295,食材表!$A:$B,2,FALSE))),"")</f>
        <v>2E-3</v>
      </c>
      <c r="J295" s="92">
        <f t="shared" si="203"/>
        <v>0</v>
      </c>
      <c r="K295" s="85" t="str">
        <f>IFERROR(IF(LEN(F295)=LENB(F295),ROUND(LEFT(F295,2*LEN(F295)-LENB(F295))/$A$1,3),((ROUND(LEFT(F295,2*LEN(F295)-LENB(F295))/$A$1,3))*VLOOKUP(J295,食材表!$A:$B,2,FALSE))),"")</f>
        <v/>
      </c>
      <c r="L295" s="344"/>
      <c r="M295" s="344"/>
      <c r="N295" s="344"/>
      <c r="O295" s="344"/>
      <c r="P295" s="344"/>
      <c r="Q295" s="344"/>
      <c r="R295" s="344"/>
      <c r="S295" s="344"/>
    </row>
    <row r="296" spans="1:19">
      <c r="A296" s="33" t="str">
        <f>"1"&amp;+$B296</f>
        <v>1酸白菜肉片湯</v>
      </c>
      <c r="B296" s="349" t="s">
        <v>1134</v>
      </c>
      <c r="C296" s="60" t="s">
        <v>452</v>
      </c>
      <c r="D296" s="59">
        <v>3</v>
      </c>
      <c r="E296" s="60"/>
      <c r="F296" s="36"/>
      <c r="G296" s="352" t="str">
        <f>B296</f>
        <v>酸白菜肉片湯</v>
      </c>
      <c r="H296" s="91" t="str">
        <f>C296</f>
        <v>酸白菜</v>
      </c>
      <c r="I296" s="83">
        <f>IFERROR(IF(LEN(D296)=LENB(D296),ROUND(LEFT(D296,2*LEN(D296)-LENB(D296))/$A$1,3),((ROUND(LEFT(D296,2*LEN(D296)-LENB(D296))/$A$1,3))*VLOOKUP(H296,食材表!$A:$B,2,FALSE))),"")</f>
        <v>0.06</v>
      </c>
      <c r="J296" s="91">
        <f>E296</f>
        <v>0</v>
      </c>
      <c r="K296" s="83" t="str">
        <f>IFERROR(IF(LEN(F296)=LENB(F296),ROUND(LEFT(F296,2*LEN(F296)-LENB(F296))/$A$1,3),((ROUND(LEFT(F296,2*LEN(F296)-LENB(F296))/$A$1,3))*VLOOKUP(J296,食材表!$A:$B,2,FALSE))),"")</f>
        <v/>
      </c>
      <c r="L296" s="342">
        <f>IFERROR($I296*VLOOKUP($H296,食材表!$A:C,3,FALSE),0)+IFERROR($I297*VLOOKUP($H297,食材表!$A:C,3,FALSE),0)+IFERROR($I298*VLOOKUP($H298,食材表!$A:C,3,FALSE),0)+IFERROR($K296*VLOOKUP($J296,食材表!$A:C,3,FALSE),0)+IFERROR($K297*VLOOKUP($J297,食材表!$A:C,3,FALSE),0)+IFERROR($K298*VLOOKUP($J298,食材表!$A:C,3,FALSE),0)</f>
        <v>0</v>
      </c>
      <c r="M296" s="342">
        <f>IFERROR($I296*VLOOKUP($H296,食材表!$A:D,4,FALSE),0)+IFERROR($I297*VLOOKUP($H297,食材表!$A:D,4,FALSE),0)+IFERROR($I298*VLOOKUP($H298,食材表!$A:D,4,FALSE),0)+IFERROR($K296*VLOOKUP($J296,食材表!$A:D,4,FALSE),0)+IFERROR($K297*VLOOKUP($J297,食材表!$A:D,4,FALSE),0)+IFERROR($K298*VLOOKUP($J298,食材表!$A:D,4,FALSE),0)</f>
        <v>0.34285714285714286</v>
      </c>
      <c r="N296" s="342">
        <f>IFERROR($I296*VLOOKUP($H296,食材表!$A:E,5,FALSE),0)+IFERROR($I297*VLOOKUP($H297,食材表!$A:E,5,FALSE),0)+IFERROR($I298*VLOOKUP($H298,食材表!$A:E,5,FALSE),0)+IFERROR($K296*VLOOKUP($J296,食材表!$A:E,5,FALSE),0)+IFERROR($K297*VLOOKUP($J297,食材表!$A:E,5,FALSE),0)+IFERROR($K298*VLOOKUP($J298,食材表!$A:E,5,FALSE),0)</f>
        <v>0</v>
      </c>
      <c r="O296" s="342">
        <f>IFERROR($I296*VLOOKUP($H296,食材表!$A:F,6,FALSE),0)+IFERROR($I297*VLOOKUP($H297,食材表!$A:F,6,FALSE),0)+IFERROR($I298*VLOOKUP($H298,食材表!$A:F,6,FALSE),0)+IFERROR($K296*VLOOKUP($J296,食材表!$A:F,6,FALSE),0)+IFERROR($K297*VLOOKUP($J297,食材表!$A:F,6,FALSE),0)+IFERROR($K298*VLOOKUP($J298,食材表!$A:F,6,FALSE),0)</f>
        <v>0.62</v>
      </c>
      <c r="P296" s="342">
        <f>IFERROR($I296*VLOOKUP($H296,食材表!$A:G,7,FALSE),0)+IFERROR($I297*VLOOKUP($H297,食材表!$A:G,7,FALSE),0)+IFERROR($I298*VLOOKUP($H298,食材表!$A:G,7,FALSE),0)+IFERROR($K296*VLOOKUP($J296,食材表!$A:G,7,FALSE),0)+IFERROR($K297*VLOOKUP($J297,食材表!$A:G,7,FALSE),0)+IFERROR($K298*VLOOKUP($J298,食材表!$A:G,7,FALSE),0)</f>
        <v>0</v>
      </c>
      <c r="Q296" s="342">
        <f>IFERROR($I296*VLOOKUP($H296,食材表!$A:H,8,FALSE),0)+IFERROR($I297*VLOOKUP($H297,食材表!$A:H,8,FALSE),0)+IFERROR($I298*VLOOKUP($H298,食材表!$A:H,8,FALSE),0)+IFERROR($K296*VLOOKUP($J296,食材表!$A:H,8,FALSE),0)+IFERROR($K297*VLOOKUP($J297,食材表!$A:H,8,FALSE),0)+IFERROR($K298*VLOOKUP($J298,食材表!$A:H,8,FALSE),0)</f>
        <v>0</v>
      </c>
      <c r="R296" s="342">
        <f>IFERROR($I296*VLOOKUP($H296,食材表!$A:I,9,FALSE),0)+IFERROR($I297*VLOOKUP($H297,食材表!$A:I,9,FALSE),0)+IFERROR($I298*VLOOKUP($H298,食材表!$A:I,9,FALSE),0)+IFERROR($K296*VLOOKUP($J296,食材表!$A:I,9,FALSE),0)+IFERROR($K297*VLOOKUP($J297,食材表!$A:I,9,FALSE),0)+IFERROR($K298*VLOOKUP($J298,食材表!$A:I,9,FALSE),0)</f>
        <v>0</v>
      </c>
      <c r="S296" s="342">
        <f>SUM(L296*70+M296*75+N296*120+O296*25+P296*60+Q296*45+R296*4)</f>
        <v>41.214285714285715</v>
      </c>
    </row>
    <row r="297" spans="1:19">
      <c r="A297" s="33" t="str">
        <f>"2"&amp;+$B296</f>
        <v>2酸白菜肉片湯</v>
      </c>
      <c r="B297" s="350"/>
      <c r="C297" s="22" t="s">
        <v>162</v>
      </c>
      <c r="D297" s="36">
        <v>0.6</v>
      </c>
      <c r="E297" s="22"/>
      <c r="F297" s="36"/>
      <c r="G297" s="353"/>
      <c r="H297" s="93" t="str">
        <f t="shared" ref="H297:H298" si="204">C297</f>
        <v>肉片</v>
      </c>
      <c r="I297" s="86">
        <f>IFERROR(IF(LEN(D297)=LENB(D297),ROUND(LEFT(D297,2*LEN(D297)-LENB(D297))/$A$1,3),((ROUND(LEFT(D297,2*LEN(D297)-LENB(D297))/$A$1,3))*VLOOKUP(H297,食材表!$A:$B,2,FALSE))),"")</f>
        <v>1.2E-2</v>
      </c>
      <c r="J297" s="93">
        <f t="shared" ref="J297:J298" si="205">E297</f>
        <v>0</v>
      </c>
      <c r="K297" s="86" t="str">
        <f>IFERROR(IF(LEN(F297)=LENB(F297),ROUND(LEFT(F297,2*LEN(F297)-LENB(F297))/$A$1,3),((ROUND(LEFT(F297,2*LEN(F297)-LENB(F297))/$A$1,3))*VLOOKUP(J297,食材表!$A:$B,2,FALSE))),"")</f>
        <v/>
      </c>
      <c r="L297" s="343"/>
      <c r="M297" s="343"/>
      <c r="N297" s="343"/>
      <c r="O297" s="343"/>
      <c r="P297" s="343"/>
      <c r="Q297" s="343"/>
      <c r="R297" s="343"/>
      <c r="S297" s="343"/>
    </row>
    <row r="298" spans="1:19">
      <c r="A298" s="33" t="str">
        <f>"3"&amp;+$B296</f>
        <v>3酸白菜肉片湯</v>
      </c>
      <c r="B298" s="351"/>
      <c r="C298" s="26" t="s">
        <v>276</v>
      </c>
      <c r="D298" s="37">
        <v>0.1</v>
      </c>
      <c r="E298" s="26"/>
      <c r="F298" s="37"/>
      <c r="G298" s="354"/>
      <c r="H298" s="92" t="str">
        <f t="shared" si="204"/>
        <v>嫩薑絲</v>
      </c>
      <c r="I298" s="84">
        <f>IFERROR(IF(LEN(D298)=LENB(D298),ROUND(LEFT(D298,2*LEN(D298)-LENB(D298))/$A$1,3),((ROUND(LEFT(D298,2*LEN(D298)-LENB(D298))/$A$1,3))*VLOOKUP(H298,食材表!$A:$B,2,FALSE))),"")</f>
        <v>2E-3</v>
      </c>
      <c r="J298" s="92">
        <f t="shared" si="205"/>
        <v>0</v>
      </c>
      <c r="K298" s="85" t="str">
        <f>IFERROR(IF(LEN(F298)=LENB(F298),ROUND(LEFT(F298,2*LEN(F298)-LENB(F298))/$A$1,3),((ROUND(LEFT(F298,2*LEN(F298)-LENB(F298))/$A$1,3))*VLOOKUP(J298,食材表!$A:$B,2,FALSE))),"")</f>
        <v/>
      </c>
      <c r="L298" s="344"/>
      <c r="M298" s="344"/>
      <c r="N298" s="344"/>
      <c r="O298" s="344"/>
      <c r="P298" s="344"/>
      <c r="Q298" s="344"/>
      <c r="R298" s="344"/>
      <c r="S298" s="344"/>
    </row>
    <row r="299" spans="1:19">
      <c r="A299" s="33" t="str">
        <f>"1"&amp;+$B299</f>
        <v>1金針肉絲湯</v>
      </c>
      <c r="B299" s="349" t="s">
        <v>1053</v>
      </c>
      <c r="C299" s="60" t="s">
        <v>462</v>
      </c>
      <c r="D299" s="59">
        <v>0.1</v>
      </c>
      <c r="E299" s="60"/>
      <c r="F299" s="36"/>
      <c r="G299" s="352" t="str">
        <f>B299</f>
        <v>金針肉絲湯</v>
      </c>
      <c r="H299" s="91" t="str">
        <f>C299</f>
        <v>乾金針</v>
      </c>
      <c r="I299" s="83">
        <f>IFERROR(IF(LEN(D299)=LENB(D299),ROUND(LEFT(D299,2*LEN(D299)-LENB(D299))/$A$1,3),((ROUND(LEFT(D299,2*LEN(D299)-LENB(D299))/$A$1,3))*VLOOKUP(H299,食材表!$A:$B,2,FALSE))),"")</f>
        <v>2E-3</v>
      </c>
      <c r="J299" s="91">
        <f>E299</f>
        <v>0</v>
      </c>
      <c r="K299" s="83" t="str">
        <f>IFERROR(IF(LEN(F299)=LENB(F299),ROUND(LEFT(F299,2*LEN(F299)-LENB(F299))/$A$1,3),((ROUND(LEFT(F299,2*LEN(F299)-LENB(F299))/$A$1,3))*VLOOKUP(J299,食材表!$A:$B,2,FALSE))),"")</f>
        <v/>
      </c>
      <c r="L299" s="342">
        <f>IFERROR($I299*VLOOKUP($H299,食材表!$A:C,3,FALSE),0)+IFERROR($I300*VLOOKUP($H300,食材表!$A:C,3,FALSE),0)+IFERROR($I301*VLOOKUP($H301,食材表!$A:C,3,FALSE),0)+IFERROR($K299*VLOOKUP($J299,食材表!$A:C,3,FALSE),0)+IFERROR($K300*VLOOKUP($J300,食材表!$A:C,3,FALSE),0)+IFERROR($K301*VLOOKUP($J301,食材表!$A:C,3,FALSE),0)</f>
        <v>0</v>
      </c>
      <c r="M299" s="342">
        <f>IFERROR($I299*VLOOKUP($H299,食材表!$A:D,4,FALSE),0)+IFERROR($I300*VLOOKUP($H300,食材表!$A:D,4,FALSE),0)+IFERROR($I301*VLOOKUP($H301,食材表!$A:D,4,FALSE),0)+IFERROR($K299*VLOOKUP($J299,食材表!$A:D,4,FALSE),0)+IFERROR($K300*VLOOKUP($J300,食材表!$A:D,4,FALSE),0)+IFERROR($K301*VLOOKUP($J301,食材表!$A:D,4,FALSE),0)</f>
        <v>0.34285714285714286</v>
      </c>
      <c r="N299" s="342">
        <f>IFERROR($I299*VLOOKUP($H299,食材表!$A:E,5,FALSE),0)+IFERROR($I300*VLOOKUP($H300,食材表!$A:E,5,FALSE),0)+IFERROR($I301*VLOOKUP($H301,食材表!$A:E,5,FALSE),0)+IFERROR($K299*VLOOKUP($J299,食材表!$A:E,5,FALSE),0)+IFERROR($K300*VLOOKUP($J300,食材表!$A:E,5,FALSE),0)+IFERROR($K301*VLOOKUP($J301,食材表!$A:E,5,FALSE),0)</f>
        <v>0</v>
      </c>
      <c r="O299" s="342">
        <f>IFERROR($I299*VLOOKUP($H299,食材表!$A:F,6,FALSE),0)+IFERROR($I300*VLOOKUP($H300,食材表!$A:F,6,FALSE),0)+IFERROR($I301*VLOOKUP($H301,食材表!$A:F,6,FALSE),0)+IFERROR($K299*VLOOKUP($J299,食材表!$A:F,6,FALSE),0)+IFERROR($K300*VLOOKUP($J300,食材表!$A:F,6,FALSE),0)+IFERROR($K301*VLOOKUP($J301,食材表!$A:F,6,FALSE),0)</f>
        <v>0.2</v>
      </c>
      <c r="P299" s="342">
        <f>IFERROR($I299*VLOOKUP($H299,食材表!$A:G,7,FALSE),0)+IFERROR($I300*VLOOKUP($H300,食材表!$A:G,7,FALSE),0)+IFERROR($I301*VLOOKUP($H301,食材表!$A:G,7,FALSE),0)+IFERROR($K299*VLOOKUP($J299,食材表!$A:G,7,FALSE),0)+IFERROR($K300*VLOOKUP($J300,食材表!$A:G,7,FALSE),0)+IFERROR($K301*VLOOKUP($J301,食材表!$A:G,7,FALSE),0)</f>
        <v>0</v>
      </c>
      <c r="Q299" s="342">
        <f>IFERROR($I299*VLOOKUP($H299,食材表!$A:H,8,FALSE),0)+IFERROR($I300*VLOOKUP($H300,食材表!$A:H,8,FALSE),0)+IFERROR($I301*VLOOKUP($H301,食材表!$A:H,8,FALSE),0)+IFERROR($K299*VLOOKUP($J299,食材表!$A:H,8,FALSE),0)+IFERROR($K300*VLOOKUP($J300,食材表!$A:H,8,FALSE),0)+IFERROR($K301*VLOOKUP($J301,食材表!$A:H,8,FALSE),0)</f>
        <v>0</v>
      </c>
      <c r="R299" s="342">
        <f>IFERROR($I299*VLOOKUP($H299,食材表!$A:I,9,FALSE),0)+IFERROR($I300*VLOOKUP($H300,食材表!$A:I,9,FALSE),0)+IFERROR($I301*VLOOKUP($H301,食材表!$A:I,9,FALSE),0)+IFERROR($K299*VLOOKUP($J299,食材表!$A:I,9,FALSE),0)+IFERROR($K300*VLOOKUP($J300,食材表!$A:I,9,FALSE),0)+IFERROR($K301*VLOOKUP($J301,食材表!$A:I,9,FALSE),0)</f>
        <v>0</v>
      </c>
      <c r="S299" s="342">
        <f>SUM(L299*70+M299*75+N299*120+O299*25+P299*60+Q299*45+R299*4)</f>
        <v>30.714285714285715</v>
      </c>
    </row>
    <row r="300" spans="1:19">
      <c r="A300" s="33" t="str">
        <f>"2"&amp;+$B299</f>
        <v>2金針肉絲湯</v>
      </c>
      <c r="B300" s="350"/>
      <c r="C300" s="22" t="s">
        <v>274</v>
      </c>
      <c r="D300" s="36">
        <v>0.6</v>
      </c>
      <c r="E300" s="22"/>
      <c r="F300" s="36"/>
      <c r="G300" s="353"/>
      <c r="H300" s="93" t="str">
        <f t="shared" ref="H300:H301" si="206">C300</f>
        <v>肉絲</v>
      </c>
      <c r="I300" s="86">
        <f>IFERROR(IF(LEN(D300)=LENB(D300),ROUND(LEFT(D300,2*LEN(D300)-LENB(D300))/$A$1,3),((ROUND(LEFT(D300,2*LEN(D300)-LENB(D300))/$A$1,3))*VLOOKUP(H300,食材表!$A:$B,2,FALSE))),"")</f>
        <v>1.2E-2</v>
      </c>
      <c r="J300" s="93">
        <f t="shared" ref="J300:J301" si="207">E300</f>
        <v>0</v>
      </c>
      <c r="K300" s="86" t="str">
        <f>IFERROR(IF(LEN(F300)=LENB(F300),ROUND(LEFT(F300,2*LEN(F300)-LENB(F300))/$A$1,3),((ROUND(LEFT(F300,2*LEN(F300)-LENB(F300))/$A$1,3))*VLOOKUP(J300,食材表!$A:$B,2,FALSE))),"")</f>
        <v/>
      </c>
      <c r="L300" s="343"/>
      <c r="M300" s="343"/>
      <c r="N300" s="343"/>
      <c r="O300" s="343"/>
      <c r="P300" s="343"/>
      <c r="Q300" s="343"/>
      <c r="R300" s="343"/>
      <c r="S300" s="343"/>
    </row>
    <row r="301" spans="1:19">
      <c r="A301" s="33" t="str">
        <f>"3"&amp;+$B299</f>
        <v>3金針肉絲湯</v>
      </c>
      <c r="B301" s="351"/>
      <c r="C301" s="26" t="s">
        <v>422</v>
      </c>
      <c r="D301" s="37">
        <v>0.2</v>
      </c>
      <c r="E301" s="26"/>
      <c r="F301" s="37"/>
      <c r="G301" s="354"/>
      <c r="H301" s="92" t="str">
        <f t="shared" si="206"/>
        <v>青蔥</v>
      </c>
      <c r="I301" s="84">
        <f>IFERROR(IF(LEN(D301)=LENB(D301),ROUND(LEFT(D301,2*LEN(D301)-LENB(D301))/$A$1,3),((ROUND(LEFT(D301,2*LEN(D301)-LENB(D301))/$A$1,3))*VLOOKUP(H301,食材表!$A:$B,2,FALSE))),"")</f>
        <v>4.0000000000000001E-3</v>
      </c>
      <c r="J301" s="92">
        <f t="shared" si="207"/>
        <v>0</v>
      </c>
      <c r="K301" s="85" t="str">
        <f>IFERROR(IF(LEN(F301)=LENB(F301),ROUND(LEFT(F301,2*LEN(F301)-LENB(F301))/$A$1,3),((ROUND(LEFT(F301,2*LEN(F301)-LENB(F301))/$A$1,3))*VLOOKUP(J301,食材表!$A:$B,2,FALSE))),"")</f>
        <v/>
      </c>
      <c r="L301" s="344"/>
      <c r="M301" s="344"/>
      <c r="N301" s="344"/>
      <c r="O301" s="344"/>
      <c r="P301" s="344"/>
      <c r="Q301" s="344"/>
      <c r="R301" s="344"/>
      <c r="S301" s="344"/>
    </row>
    <row r="302" spans="1:19">
      <c r="A302" s="33" t="str">
        <f>"1"&amp;+$B302</f>
        <v>1鮮菇雞湯</v>
      </c>
      <c r="B302" s="355" t="s">
        <v>201</v>
      </c>
      <c r="C302" s="57" t="s">
        <v>52</v>
      </c>
      <c r="D302" s="56">
        <v>0.5</v>
      </c>
      <c r="E302" s="55" t="s">
        <v>202</v>
      </c>
      <c r="F302" s="40" t="s">
        <v>203</v>
      </c>
      <c r="G302" s="352" t="str">
        <f>B302</f>
        <v>鮮菇雞湯</v>
      </c>
      <c r="H302" s="91" t="str">
        <f>C302</f>
        <v>生香菇</v>
      </c>
      <c r="I302" s="83">
        <f>IFERROR(IF(LEN(D302)=LENB(D302),ROUND(LEFT(D302,2*LEN(D302)-LENB(D302))/$A$1,3),((ROUND(LEFT(D302,2*LEN(D302)-LENB(D302))/$A$1,3))*VLOOKUP(H302,食材表!$A:$B,2,FALSE))),"")</f>
        <v>0.01</v>
      </c>
      <c r="J302" s="91" t="str">
        <f>E302</f>
        <v>美白菇</v>
      </c>
      <c r="K302" s="83">
        <f>IFERROR(IF(LEN(F302)=LENB(F302),ROUND(LEFT(F302,2*LEN(F302)-LENB(F302))/$A$1,3),((ROUND(LEFT(F302,2*LEN(F302)-LENB(F302))/$A$1,3))*VLOOKUP(J302,食材表!$A:$B,2,FALSE))),"")</f>
        <v>2E-3</v>
      </c>
      <c r="L302" s="342">
        <f>IFERROR($I302*VLOOKUP($H302,食材表!$A:C,3,FALSE),0)+IFERROR($I303*VLOOKUP($H303,食材表!$A:C,3,FALSE),0)+IFERROR($I304*VLOOKUP($H304,食材表!$A:C,3,FALSE),0)+IFERROR($K302*VLOOKUP($J302,食材表!$A:C,3,FALSE),0)+IFERROR($K303*VLOOKUP($J303,食材表!$A:C,3,FALSE),0)+IFERROR($K304*VLOOKUP($J304,食材表!$A:C,3,FALSE),0)</f>
        <v>0</v>
      </c>
      <c r="M302" s="342">
        <f>IFERROR($I302*VLOOKUP($H302,食材表!$A:D,4,FALSE),0)+IFERROR($I303*VLOOKUP($H303,食材表!$A:D,4,FALSE),0)+IFERROR($I304*VLOOKUP($H304,食材表!$A:D,4,FALSE),0)+IFERROR($K302*VLOOKUP($J302,食材表!$A:D,4,FALSE),0)+IFERROR($K303*VLOOKUP($J303,食材表!$A:D,4,FALSE),0)+IFERROR($K304*VLOOKUP($J304,食材表!$A:D,4,FALSE),0)</f>
        <v>1.5</v>
      </c>
      <c r="N302" s="342">
        <f>IFERROR($I302*VLOOKUP($H302,食材表!$A:E,5,FALSE),0)+IFERROR($I303*VLOOKUP($H303,食材表!$A:E,5,FALSE),0)+IFERROR($I304*VLOOKUP($H304,食材表!$A:E,5,FALSE),0)+IFERROR($K302*VLOOKUP($J302,食材表!$A:E,5,FALSE),0)+IFERROR($K303*VLOOKUP($J303,食材表!$A:E,5,FALSE),0)+IFERROR($K304*VLOOKUP($J304,食材表!$A:E,5,FALSE),0)</f>
        <v>0</v>
      </c>
      <c r="O302" s="342">
        <f>IFERROR($I302*VLOOKUP($H302,食材表!$A:F,6,FALSE),0)+IFERROR($I303*VLOOKUP($H303,食材表!$A:F,6,FALSE),0)+IFERROR($I304*VLOOKUP($H304,食材表!$A:F,6,FALSE),0)+IFERROR($K302*VLOOKUP($J302,食材表!$A:F,6,FALSE),0)+IFERROR($K303*VLOOKUP($J303,食材表!$A:F,6,FALSE),0)+IFERROR($K304*VLOOKUP($J304,食材表!$A:F,6,FALSE),0)</f>
        <v>0.16</v>
      </c>
      <c r="P302" s="342">
        <f>IFERROR($I302*VLOOKUP($H302,食材表!$A:G,7,FALSE),0)+IFERROR($I303*VLOOKUP($H303,食材表!$A:G,7,FALSE),0)+IFERROR($I304*VLOOKUP($H304,食材表!$A:G,7,FALSE),0)+IFERROR($K302*VLOOKUP($J302,食材表!$A:G,7,FALSE),0)+IFERROR($K303*VLOOKUP($J303,食材表!$A:G,7,FALSE),0)+IFERROR($K304*VLOOKUP($J304,食材表!$A:G,7,FALSE),0)</f>
        <v>0</v>
      </c>
      <c r="Q302" s="342">
        <f>IFERROR($I302*VLOOKUP($H302,食材表!$A:H,8,FALSE),0)+IFERROR($I303*VLOOKUP($H303,食材表!$A:H,8,FALSE),0)+IFERROR($I304*VLOOKUP($H304,食材表!$A:H,8,FALSE),0)+IFERROR($K302*VLOOKUP($J302,食材表!$A:H,8,FALSE),0)+IFERROR($K303*VLOOKUP($J303,食材表!$A:H,8,FALSE),0)+IFERROR($K304*VLOOKUP($J304,食材表!$A:H,8,FALSE),0)</f>
        <v>0</v>
      </c>
      <c r="R302" s="342">
        <f>IFERROR($I302*VLOOKUP($H302,食材表!$A:I,9,FALSE),0)+IFERROR($I303*VLOOKUP($H303,食材表!$A:I,9,FALSE),0)+IFERROR($I304*VLOOKUP($H304,食材表!$A:I,9,FALSE),0)+IFERROR($K302*VLOOKUP($J302,食材表!$A:I,9,FALSE),0)+IFERROR($K303*VLOOKUP($J303,食材表!$A:I,9,FALSE),0)+IFERROR($K304*VLOOKUP($J304,食材表!$A:I,9,FALSE),0)</f>
        <v>0</v>
      </c>
      <c r="S302" s="342">
        <f>SUM(L302*70+M302*75+N302*120+O302*25+P302*60+Q302*45+R302*4)</f>
        <v>116.5</v>
      </c>
    </row>
    <row r="303" spans="1:19">
      <c r="A303" s="33" t="str">
        <f>"2"&amp;+$B302</f>
        <v>2鮮菇雞湯</v>
      </c>
      <c r="B303" s="356"/>
      <c r="C303" s="35" t="s">
        <v>204</v>
      </c>
      <c r="D303" s="40">
        <v>3</v>
      </c>
      <c r="E303" s="31" t="s">
        <v>205</v>
      </c>
      <c r="F303" s="33" t="s">
        <v>203</v>
      </c>
      <c r="G303" s="353"/>
      <c r="H303" s="93" t="str">
        <f t="shared" ref="H303:H304" si="208">C303</f>
        <v>雞腿仁丁</v>
      </c>
      <c r="I303" s="86">
        <f>IFERROR(IF(LEN(D303)=LENB(D303),ROUND(LEFT(D303,2*LEN(D303)-LENB(D303))/$A$1,3),((ROUND(LEFT(D303,2*LEN(D303)-LENB(D303))/$A$1,3))*VLOOKUP(H303,食材表!$A:$B,2,FALSE))),"")</f>
        <v>0.06</v>
      </c>
      <c r="J303" s="93" t="str">
        <f t="shared" ref="J303:J304" si="209">E303</f>
        <v>鴻喜菇</v>
      </c>
      <c r="K303" s="86">
        <f>IFERROR(IF(LEN(F303)=LENB(F303),ROUND(LEFT(F303,2*LEN(F303)-LENB(F303))/$A$1,3),((ROUND(LEFT(F303,2*LEN(F303)-LENB(F303))/$A$1,3))*VLOOKUP(J303,食材表!$A:$B,2,FALSE))),"")</f>
        <v>2E-3</v>
      </c>
      <c r="L303" s="343"/>
      <c r="M303" s="343"/>
      <c r="N303" s="343"/>
      <c r="O303" s="343"/>
      <c r="P303" s="343"/>
      <c r="Q303" s="343"/>
      <c r="R303" s="343"/>
      <c r="S303" s="343"/>
    </row>
    <row r="304" spans="1:19">
      <c r="A304" s="33" t="str">
        <f>"3"&amp;+$B302</f>
        <v>3鮮菇雞湯</v>
      </c>
      <c r="B304" s="357"/>
      <c r="C304" s="28" t="s">
        <v>207</v>
      </c>
      <c r="D304" s="8">
        <v>0.1</v>
      </c>
      <c r="E304" s="28"/>
      <c r="F304" s="8"/>
      <c r="G304" s="354"/>
      <c r="H304" s="92" t="str">
        <f t="shared" si="208"/>
        <v>薑片</v>
      </c>
      <c r="I304" s="84">
        <f>IFERROR(IF(LEN(D304)=LENB(D304),ROUND(LEFT(D304,2*LEN(D304)-LENB(D304))/$A$1,3),((ROUND(LEFT(D304,2*LEN(D304)-LENB(D304))/$A$1,3))*VLOOKUP(H304,食材表!$A:$B,2,FALSE))),"")</f>
        <v>2E-3</v>
      </c>
      <c r="J304" s="92">
        <f t="shared" si="209"/>
        <v>0</v>
      </c>
      <c r="K304" s="85" t="str">
        <f>IFERROR(IF(LEN(F304)=LENB(F304),ROUND(LEFT(F304,2*LEN(F304)-LENB(F304))/$A$1,3),((ROUND(LEFT(F304,2*LEN(F304)-LENB(F304))/$A$1,3))*VLOOKUP(J304,食材表!$A:$B,2,FALSE))),"")</f>
        <v/>
      </c>
      <c r="L304" s="344"/>
      <c r="M304" s="344"/>
      <c r="N304" s="344"/>
      <c r="O304" s="344"/>
      <c r="P304" s="344"/>
      <c r="Q304" s="344"/>
      <c r="R304" s="344"/>
      <c r="S304" s="344"/>
    </row>
    <row r="305" spans="1:19">
      <c r="A305" s="33" t="str">
        <f>"1"&amp;+$B305</f>
        <v>1香菇蘿蔔雞湯</v>
      </c>
      <c r="B305" s="389" t="s">
        <v>233</v>
      </c>
      <c r="C305" s="60" t="s">
        <v>234</v>
      </c>
      <c r="D305" s="59">
        <v>1.8</v>
      </c>
      <c r="E305" s="60" t="s">
        <v>235</v>
      </c>
      <c r="F305" s="36">
        <v>0.1</v>
      </c>
      <c r="G305" s="352" t="str">
        <f>B305</f>
        <v>香菇蘿蔔雞湯</v>
      </c>
      <c r="H305" s="91" t="str">
        <f>C305</f>
        <v>雞骨腿丁</v>
      </c>
      <c r="I305" s="83">
        <f>IFERROR(IF(LEN(D305)=LENB(D305),ROUND(LEFT(D305,2*LEN(D305)-LENB(D305))/$A$1,3),((ROUND(LEFT(D305,2*LEN(D305)-LENB(D305))/$A$1,3))*VLOOKUP(H305,食材表!$A:$B,2,FALSE))),"")</f>
        <v>3.5999999999999997E-2</v>
      </c>
      <c r="J305" s="91" t="str">
        <f>E305</f>
        <v>薑片</v>
      </c>
      <c r="K305" s="83">
        <f>IFERROR(IF(LEN(F305)=LENB(F305),ROUND(LEFT(F305,2*LEN(F305)-LENB(F305))/$A$1,3),((ROUND(LEFT(F305,2*LEN(F305)-LENB(F305))/$A$1,3))*VLOOKUP(J305,食材表!$A:$B,2,FALSE))),"")</f>
        <v>2E-3</v>
      </c>
      <c r="L305" s="342">
        <f>IFERROR($I305*VLOOKUP($H305,食材表!$A:C,3,FALSE),0)+IFERROR($I306*VLOOKUP($H306,食材表!$A:C,3,FALSE),0)+IFERROR($I307*VLOOKUP($H307,食材表!$A:C,3,FALSE),0)+IFERROR($K305*VLOOKUP($J305,食材表!$A:C,3,FALSE),0)+IFERROR($K306*VLOOKUP($J306,食材表!$A:C,3,FALSE),0)+IFERROR($K307*VLOOKUP($J307,食材表!$A:C,3,FALSE),0)</f>
        <v>0</v>
      </c>
      <c r="M305" s="342">
        <f>IFERROR($I305*VLOOKUP($H305,食材表!$A:D,4,FALSE),0)+IFERROR($I306*VLOOKUP($H306,食材表!$A:D,4,FALSE),0)+IFERROR($I307*VLOOKUP($H307,食材表!$A:D,4,FALSE),0)+IFERROR($K305*VLOOKUP($J305,食材表!$A:D,4,FALSE),0)+IFERROR($K306*VLOOKUP($J306,食材表!$A:D,4,FALSE),0)+IFERROR($K307*VLOOKUP($J307,食材表!$A:D,4,FALSE),0)</f>
        <v>0.54545454545454541</v>
      </c>
      <c r="N305" s="342">
        <f>IFERROR($I305*VLOOKUP($H305,食材表!$A:E,5,FALSE),0)+IFERROR($I306*VLOOKUP($H306,食材表!$A:E,5,FALSE),0)+IFERROR($I307*VLOOKUP($H307,食材表!$A:E,5,FALSE),0)+IFERROR($K305*VLOOKUP($J305,食材表!$A:E,5,FALSE),0)+IFERROR($K306*VLOOKUP($J306,食材表!$A:E,5,FALSE),0)+IFERROR($K307*VLOOKUP($J307,食材表!$A:E,5,FALSE),0)</f>
        <v>0</v>
      </c>
      <c r="O305" s="342">
        <f>IFERROR($I305*VLOOKUP($H305,食材表!$A:F,6,FALSE),0)+IFERROR($I306*VLOOKUP($H306,食材表!$A:F,6,FALSE),0)+IFERROR($I307*VLOOKUP($H307,食材表!$A:F,6,FALSE),0)+IFERROR($K305*VLOOKUP($J305,食材表!$A:F,6,FALSE),0)+IFERROR($K306*VLOOKUP($J306,食材表!$A:F,6,FALSE),0)+IFERROR($K307*VLOOKUP($J307,食材表!$A:F,6,FALSE),0)</f>
        <v>0.12000000000000001</v>
      </c>
      <c r="P305" s="342">
        <f>IFERROR($I305*VLOOKUP($H305,食材表!$A:G,7,FALSE),0)+IFERROR($I306*VLOOKUP($H306,食材表!$A:G,7,FALSE),0)+IFERROR($I307*VLOOKUP($H307,食材表!$A:G,7,FALSE),0)+IFERROR($K305*VLOOKUP($J305,食材表!$A:G,7,FALSE),0)+IFERROR($K306*VLOOKUP($J306,食材表!$A:G,7,FALSE),0)+IFERROR($K307*VLOOKUP($J307,食材表!$A:G,7,FALSE),0)</f>
        <v>0</v>
      </c>
      <c r="Q305" s="342">
        <f>IFERROR($I305*VLOOKUP($H305,食材表!$A:H,8,FALSE),0)+IFERROR($I306*VLOOKUP($H306,食材表!$A:H,8,FALSE),0)+IFERROR($I307*VLOOKUP($H307,食材表!$A:H,8,FALSE),0)+IFERROR($K305*VLOOKUP($J305,食材表!$A:H,8,FALSE),0)+IFERROR($K306*VLOOKUP($J306,食材表!$A:H,8,FALSE),0)+IFERROR($K307*VLOOKUP($J307,食材表!$A:H,8,FALSE),0)</f>
        <v>0</v>
      </c>
      <c r="R305" s="342">
        <f>IFERROR($I305*VLOOKUP($H305,食材表!$A:I,9,FALSE),0)+IFERROR($I306*VLOOKUP($H306,食材表!$A:I,9,FALSE),0)+IFERROR($I307*VLOOKUP($H307,食材表!$A:I,9,FALSE),0)+IFERROR($K305*VLOOKUP($J305,食材表!$A:I,9,FALSE),0)+IFERROR($K306*VLOOKUP($J306,食材表!$A:I,9,FALSE),0)+IFERROR($K307*VLOOKUP($J307,食材表!$A:I,9,FALSE),0)</f>
        <v>0</v>
      </c>
      <c r="S305" s="342">
        <f>SUM(L305*70+M305*75+N305*120+O305*25+P305*60+Q305*45+R305*4)</f>
        <v>43.909090909090907</v>
      </c>
    </row>
    <row r="306" spans="1:19">
      <c r="A306" s="33" t="str">
        <f>"2"&amp;+$B305</f>
        <v>2香菇蘿蔔雞湯</v>
      </c>
      <c r="B306" s="272"/>
      <c r="C306" s="22" t="s">
        <v>236</v>
      </c>
      <c r="D306" s="36">
        <v>0.5</v>
      </c>
      <c r="E306" s="22"/>
      <c r="F306" s="36"/>
      <c r="G306" s="353"/>
      <c r="H306" s="93" t="str">
        <f t="shared" ref="H306:H307" si="210">C306</f>
        <v>生香菇</v>
      </c>
      <c r="I306" s="86">
        <f>IFERROR(IF(LEN(D306)=LENB(D306),ROUND(LEFT(D306,2*LEN(D306)-LENB(D306))/$A$1,3),((ROUND(LEFT(D306,2*LEN(D306)-LENB(D306))/$A$1,3))*VLOOKUP(H306,食材表!$A:$B,2,FALSE))),"")</f>
        <v>0.01</v>
      </c>
      <c r="J306" s="93">
        <f t="shared" ref="J306:J307" si="211">E306</f>
        <v>0</v>
      </c>
      <c r="K306" s="86" t="str">
        <f>IFERROR(IF(LEN(F306)=LENB(F306),ROUND(LEFT(F306,2*LEN(F306)-LENB(F306))/$A$1,3),((ROUND(LEFT(F306,2*LEN(F306)-LENB(F306))/$A$1,3))*VLOOKUP(J306,食材表!$A:$B,2,FALSE))),"")</f>
        <v/>
      </c>
      <c r="L306" s="343"/>
      <c r="M306" s="343"/>
      <c r="N306" s="343"/>
      <c r="O306" s="343"/>
      <c r="P306" s="343"/>
      <c r="Q306" s="343"/>
      <c r="R306" s="343"/>
      <c r="S306" s="343"/>
    </row>
    <row r="307" spans="1:19">
      <c r="A307" s="33" t="str">
        <f>"3"&amp;+$B305</f>
        <v>3香菇蘿蔔雞湯</v>
      </c>
      <c r="B307" s="273"/>
      <c r="C307" s="26" t="s">
        <v>237</v>
      </c>
      <c r="D307" s="37">
        <v>2.2000000000000002</v>
      </c>
      <c r="E307" s="26"/>
      <c r="F307" s="37"/>
      <c r="G307" s="354"/>
      <c r="H307" s="92" t="str">
        <f t="shared" si="210"/>
        <v>白蘿蔔</v>
      </c>
      <c r="I307" s="84">
        <f>IFERROR(IF(LEN(D307)=LENB(D307),ROUND(LEFT(D307,2*LEN(D307)-LENB(D307))/$A$1,3),((ROUND(LEFT(D307,2*LEN(D307)-LENB(D307))/$A$1,3))*VLOOKUP(H307,食材表!$A:$B,2,FALSE))),"")</f>
        <v>4.3999999999999997E-2</v>
      </c>
      <c r="J307" s="92">
        <f t="shared" si="211"/>
        <v>0</v>
      </c>
      <c r="K307" s="85" t="str">
        <f>IFERROR(IF(LEN(F307)=LENB(F307),ROUND(LEFT(F307,2*LEN(F307)-LENB(F307))/$A$1,3),((ROUND(LEFT(F307,2*LEN(F307)-LENB(F307))/$A$1,3))*VLOOKUP(J307,食材表!$A:$B,2,FALSE))),"")</f>
        <v/>
      </c>
      <c r="L307" s="344"/>
      <c r="M307" s="344"/>
      <c r="N307" s="344"/>
      <c r="O307" s="344"/>
      <c r="P307" s="344"/>
      <c r="Q307" s="344"/>
      <c r="R307" s="344"/>
      <c r="S307" s="344"/>
    </row>
    <row r="308" spans="1:19">
      <c r="A308" s="33" t="str">
        <f>"1"&amp;+$B308</f>
        <v>1蘿蔔黑輪湯</v>
      </c>
      <c r="B308" s="349" t="s">
        <v>994</v>
      </c>
      <c r="C308" s="55" t="s">
        <v>51</v>
      </c>
      <c r="D308" s="56">
        <v>3</v>
      </c>
      <c r="E308" s="60" t="s">
        <v>995</v>
      </c>
      <c r="F308" s="36">
        <v>0.1</v>
      </c>
      <c r="G308" s="352" t="str">
        <f>B308</f>
        <v>蘿蔔黑輪湯</v>
      </c>
      <c r="H308" s="91" t="str">
        <f>C308</f>
        <v>白蘿蔔</v>
      </c>
      <c r="I308" s="83">
        <f>IFERROR(IF(LEN(D308)=LENB(D308),ROUND(LEFT(D308,2*LEN(D308)-LENB(D308))/$A$1,3),((ROUND(LEFT(D308,2*LEN(D308)-LENB(D308))/$A$1,3))*VLOOKUP(H308,食材表!$A:$B,2,FALSE))),"")</f>
        <v>0.06</v>
      </c>
      <c r="J308" s="91" t="str">
        <f>E308</f>
        <v>芹菜珠</v>
      </c>
      <c r="K308" s="83">
        <f>IFERROR(IF(LEN(F308)=LENB(F308),ROUND(LEFT(F308,2*LEN(F308)-LENB(F308))/$A$1,3),((ROUND(LEFT(F308,2*LEN(F308)-LENB(F308))/$A$1,3))*VLOOKUP(J308,食材表!$A:$B,2,FALSE))),"")</f>
        <v>2E-3</v>
      </c>
      <c r="L308" s="342">
        <f>IFERROR($I308*VLOOKUP($H308,食材表!$A:C,3,FALSE),0)+IFERROR($I309*VLOOKUP($H309,食材表!$A:C,3,FALSE),0)+IFERROR($I310*VLOOKUP($H310,食材表!$A:C,3,FALSE),0)+IFERROR($K308*VLOOKUP($J308,食材表!$A:C,3,FALSE),0)+IFERROR($K309*VLOOKUP($J309,食材表!$A:C,3,FALSE),0)+IFERROR($K310*VLOOKUP($J310,食材表!$A:C,3,FALSE),0)</f>
        <v>0</v>
      </c>
      <c r="M308" s="342">
        <f>IFERROR($I308*VLOOKUP($H308,食材表!$A:D,4,FALSE),0)+IFERROR($I309*VLOOKUP($H309,食材表!$A:D,4,FALSE),0)+IFERROR($I310*VLOOKUP($H310,食材表!$A:D,4,FALSE),0)+IFERROR($K308*VLOOKUP($J308,食材表!$A:D,4,FALSE),0)+IFERROR($K309*VLOOKUP($J309,食材表!$A:D,4,FALSE),0)+IFERROR($K310*VLOOKUP($J310,食材表!$A:D,4,FALSE),0)</f>
        <v>0.22857142857142859</v>
      </c>
      <c r="N308" s="342">
        <f>IFERROR($I308*VLOOKUP($H308,食材表!$A:E,5,FALSE),0)+IFERROR($I309*VLOOKUP($H309,食材表!$A:E,5,FALSE),0)+IFERROR($I310*VLOOKUP($H310,食材表!$A:E,5,FALSE),0)+IFERROR($K308*VLOOKUP($J308,食材表!$A:E,5,FALSE),0)+IFERROR($K309*VLOOKUP($J309,食材表!$A:E,5,FALSE),0)+IFERROR($K310*VLOOKUP($J310,食材表!$A:E,5,FALSE),0)</f>
        <v>0</v>
      </c>
      <c r="O308" s="342">
        <f>IFERROR($I308*VLOOKUP($H308,食材表!$A:F,6,FALSE),0)+IFERROR($I309*VLOOKUP($H309,食材表!$A:F,6,FALSE),0)+IFERROR($I310*VLOOKUP($H310,食材表!$A:F,6,FALSE),0)+IFERROR($K308*VLOOKUP($J308,食材表!$A:F,6,FALSE),0)+IFERROR($K309*VLOOKUP($J309,食材表!$A:F,6,FALSE),0)+IFERROR($K310*VLOOKUP($J310,食材表!$A:F,6,FALSE),0)</f>
        <v>0.04</v>
      </c>
      <c r="P308" s="342">
        <f>IFERROR($I308*VLOOKUP($H308,食材表!$A:G,7,FALSE),0)+IFERROR($I309*VLOOKUP($H309,食材表!$A:G,7,FALSE),0)+IFERROR($I310*VLOOKUP($H310,食材表!$A:G,7,FALSE),0)+IFERROR($K308*VLOOKUP($J308,食材表!$A:G,7,FALSE),0)+IFERROR($K309*VLOOKUP($J309,食材表!$A:G,7,FALSE),0)+IFERROR($K310*VLOOKUP($J310,食材表!$A:G,7,FALSE),0)</f>
        <v>0</v>
      </c>
      <c r="Q308" s="342">
        <f>IFERROR($I308*VLOOKUP($H308,食材表!$A:H,8,FALSE),0)+IFERROR($I309*VLOOKUP($H309,食材表!$A:H,8,FALSE),0)+IFERROR($I310*VLOOKUP($H310,食材表!$A:H,8,FALSE),0)+IFERROR($K308*VLOOKUP($J308,食材表!$A:H,8,FALSE),0)+IFERROR($K309*VLOOKUP($J309,食材表!$A:H,8,FALSE),0)+IFERROR($K310*VLOOKUP($J310,食材表!$A:H,8,FALSE),0)</f>
        <v>0</v>
      </c>
      <c r="R308" s="342">
        <f>IFERROR($I308*VLOOKUP($H308,食材表!$A:I,9,FALSE),0)+IFERROR($I309*VLOOKUP($H309,食材表!$A:I,9,FALSE),0)+IFERROR($I310*VLOOKUP($H310,食材表!$A:I,9,FALSE),0)+IFERROR($K308*VLOOKUP($J308,食材表!$A:I,9,FALSE),0)+IFERROR($K309*VLOOKUP($J309,食材表!$A:I,9,FALSE),0)+IFERROR($K310*VLOOKUP($J310,食材表!$A:I,9,FALSE),0)</f>
        <v>0</v>
      </c>
      <c r="S308" s="342">
        <f>SUM(L308*70+M308*75+N308*120+O308*25+P308*60+Q308*45+R308*4)</f>
        <v>18.142857142857146</v>
      </c>
    </row>
    <row r="309" spans="1:19">
      <c r="A309" s="33" t="str">
        <f>"2"&amp;+$B308</f>
        <v>2蘿蔔黑輪湯</v>
      </c>
      <c r="B309" s="350"/>
      <c r="C309" s="31" t="s">
        <v>918</v>
      </c>
      <c r="D309" s="33">
        <v>0.8</v>
      </c>
      <c r="E309" s="22"/>
      <c r="F309" s="36"/>
      <c r="G309" s="353"/>
      <c r="H309" s="93" t="str">
        <f t="shared" ref="H309:H313" si="212">C309</f>
        <v>黑輪</v>
      </c>
      <c r="I309" s="86">
        <f>IFERROR(IF(LEN(D309)=LENB(D309),ROUND(LEFT(D309,2*LEN(D309)-LENB(D309))/$A$1,3),((ROUND(LEFT(D309,2*LEN(D309)-LENB(D309))/$A$1,3))*VLOOKUP(H309,食材表!$A:$B,2,FALSE))),"")</f>
        <v>1.6E-2</v>
      </c>
      <c r="J309" s="93">
        <f t="shared" ref="J309:J313" si="213">E309</f>
        <v>0</v>
      </c>
      <c r="K309" s="86" t="str">
        <f>IFERROR(IF(LEN(F309)=LENB(F309),ROUND(LEFT(F309,2*LEN(F309)-LENB(F309))/$A$1,3),((ROUND(LEFT(F309,2*LEN(F309)-LENB(F309))/$A$1,3))*VLOOKUP(J309,食材表!$A:$B,2,FALSE))),"")</f>
        <v/>
      </c>
      <c r="L309" s="343"/>
      <c r="M309" s="343"/>
      <c r="N309" s="343"/>
      <c r="O309" s="343"/>
      <c r="P309" s="343"/>
      <c r="Q309" s="343"/>
      <c r="R309" s="343"/>
      <c r="S309" s="343"/>
    </row>
    <row r="310" spans="1:19">
      <c r="A310" s="33" t="str">
        <f>"3"&amp;+$B308</f>
        <v>3蘿蔔黑輪湯</v>
      </c>
      <c r="B310" s="351"/>
      <c r="C310" s="28" t="s">
        <v>75</v>
      </c>
      <c r="D310" s="8">
        <v>0.2</v>
      </c>
      <c r="E310" s="26"/>
      <c r="F310" s="37"/>
      <c r="G310" s="354"/>
      <c r="H310" s="92" t="str">
        <f t="shared" si="212"/>
        <v>紅蘿蔔</v>
      </c>
      <c r="I310" s="84">
        <f>IFERROR(IF(LEN(D310)=LENB(D310),ROUND(LEFT(D310,2*LEN(D310)-LENB(D310))/$A$1,3),((ROUND(LEFT(D310,2*LEN(D310)-LENB(D310))/$A$1,3))*VLOOKUP(H310,食材表!$A:$B,2,FALSE))),"")</f>
        <v>4.0000000000000001E-3</v>
      </c>
      <c r="J310" s="92">
        <f t="shared" si="213"/>
        <v>0</v>
      </c>
      <c r="K310" s="85" t="str">
        <f>IFERROR(IF(LEN(F310)=LENB(F310),ROUND(LEFT(F310,2*LEN(F310)-LENB(F310))/$A$1,3),((ROUND(LEFT(F310,2*LEN(F310)-LENB(F310))/$A$1,3))*VLOOKUP(J310,食材表!$A:$B,2,FALSE))),"")</f>
        <v/>
      </c>
      <c r="L310" s="344"/>
      <c r="M310" s="344"/>
      <c r="N310" s="344"/>
      <c r="O310" s="344"/>
      <c r="P310" s="344"/>
      <c r="Q310" s="344"/>
      <c r="R310" s="344"/>
      <c r="S310" s="344"/>
    </row>
    <row r="311" spans="1:19">
      <c r="A311" s="33" t="str">
        <f>"1"&amp;+$B311</f>
        <v>1海芽蛋花湯</v>
      </c>
      <c r="B311" s="359" t="s">
        <v>1103</v>
      </c>
      <c r="C311" s="60" t="s">
        <v>417</v>
      </c>
      <c r="D311" s="78">
        <v>0.1</v>
      </c>
      <c r="E311" s="60" t="s">
        <v>1104</v>
      </c>
      <c r="F311" s="36">
        <v>2</v>
      </c>
      <c r="G311" s="352" t="str">
        <f t="shared" ref="G311" si="214">B311</f>
        <v>海芽蛋花湯</v>
      </c>
      <c r="H311" s="91" t="str">
        <f t="shared" si="212"/>
        <v>海帶芽</v>
      </c>
      <c r="I311" s="83">
        <f>IFERROR(IF(LEN(D311)=LENB(D311),ROUND(LEFT(D311,2*LEN(D311)-LENB(D311))/$A$1,3),((ROUND(LEFT(D311,2*LEN(D311)-LENB(D311))/$A$1,3))*VLOOKUP(H311,食材表!$A:$B,2,FALSE))),"")</f>
        <v>2E-3</v>
      </c>
      <c r="J311" s="91" t="str">
        <f t="shared" si="213"/>
        <v>貢丸(小)</v>
      </c>
      <c r="K311" s="83">
        <f>IFERROR(IF(LEN(F311)=LENB(F311),ROUND(LEFT(F311,2*LEN(F311)-LENB(F311))/$A$1,3),((ROUND(LEFT(F311,2*LEN(F311)-LENB(F311))/$A$1,3))*VLOOKUP(J311,食材表!$A:$B,2,FALSE))),"")</f>
        <v>0.04</v>
      </c>
      <c r="L311" s="342">
        <f>IFERROR($I311*VLOOKUP($H311,食材表!$A:C,3,FALSE),0)+IFERROR($I312*VLOOKUP($H312,食材表!$A:C,3,FALSE),0)+IFERROR($I313*VLOOKUP($H313,食材表!$A:C,3,FALSE),0)+IFERROR($K311*VLOOKUP($J311,食材表!$A:C,3,FALSE),0)+IFERROR($K312*VLOOKUP($J312,食材表!$A:C,3,FALSE),0)+IFERROR($K313*VLOOKUP($J313,食材表!$A:C,3,FALSE),0)</f>
        <v>0</v>
      </c>
      <c r="M311" s="342">
        <f>IFERROR($I311*VLOOKUP($H311,食材表!$A:D,4,FALSE),0)+IFERROR($I312*VLOOKUP($H312,食材表!$A:D,4,FALSE),0)+IFERROR($I313*VLOOKUP($H313,食材表!$A:D,4,FALSE),0)+IFERROR($K311*VLOOKUP($J311,食材表!$A:D,4,FALSE),0)+IFERROR($K312*VLOOKUP($J312,食材表!$A:D,4,FALSE),0)+IFERROR($K313*VLOOKUP($J313,食材表!$A:D,4,FALSE),0)</f>
        <v>0.18461538461538463</v>
      </c>
      <c r="N311" s="342">
        <f>IFERROR($I311*VLOOKUP($H311,食材表!$A:E,5,FALSE),0)+IFERROR($I312*VLOOKUP($H312,食材表!$A:E,5,FALSE),0)+IFERROR($I313*VLOOKUP($H313,食材表!$A:E,5,FALSE),0)+IFERROR($K311*VLOOKUP($J311,食材表!$A:E,5,FALSE),0)+IFERROR($K312*VLOOKUP($J312,食材表!$A:E,5,FALSE),0)+IFERROR($K313*VLOOKUP($J313,食材表!$A:E,5,FALSE),0)</f>
        <v>0</v>
      </c>
      <c r="O311" s="342">
        <f>IFERROR($I311*VLOOKUP($H311,食材表!$A:F,6,FALSE),0)+IFERROR($I312*VLOOKUP($H312,食材表!$A:F,6,FALSE),0)+IFERROR($I313*VLOOKUP($H313,食材表!$A:F,6,FALSE),0)+IFERROR($K311*VLOOKUP($J311,食材表!$A:F,6,FALSE),0)+IFERROR($K312*VLOOKUP($J312,食材表!$A:F,6,FALSE),0)+IFERROR($K313*VLOOKUP($J313,食材表!$A:F,6,FALSE),0)</f>
        <v>0.2</v>
      </c>
      <c r="P311" s="342">
        <f>IFERROR($I311*VLOOKUP($H311,食材表!$A:G,7,FALSE),0)+IFERROR($I312*VLOOKUP($H312,食材表!$A:G,7,FALSE),0)+IFERROR($I313*VLOOKUP($H313,食材表!$A:G,7,FALSE),0)+IFERROR($K311*VLOOKUP($J311,食材表!$A:G,7,FALSE),0)+IFERROR($K312*VLOOKUP($J312,食材表!$A:G,7,FALSE),0)+IFERROR($K313*VLOOKUP($J313,食材表!$A:G,7,FALSE),0)</f>
        <v>0</v>
      </c>
      <c r="Q311" s="342">
        <f>IFERROR($I311*VLOOKUP($H311,食材表!$A:H,8,FALSE),0)+IFERROR($I312*VLOOKUP($H312,食材表!$A:H,8,FALSE),0)+IFERROR($I313*VLOOKUP($H313,食材表!$A:H,8,FALSE),0)+IFERROR($K311*VLOOKUP($J311,食材表!$A:H,8,FALSE),0)+IFERROR($K312*VLOOKUP($J312,食材表!$A:H,8,FALSE),0)+IFERROR($K313*VLOOKUP($J313,食材表!$A:H,8,FALSE),0)</f>
        <v>0</v>
      </c>
      <c r="R311" s="342">
        <f>IFERROR($I311*VLOOKUP($H311,食材表!$A:I,9,FALSE),0)+IFERROR($I312*VLOOKUP($H312,食材表!$A:I,9,FALSE),0)+IFERROR($I313*VLOOKUP($H313,食材表!$A:I,9,FALSE),0)+IFERROR($K311*VLOOKUP($J311,食材表!$A:I,9,FALSE),0)+IFERROR($K312*VLOOKUP($J312,食材表!$A:I,9,FALSE),0)+IFERROR($K313*VLOOKUP($J313,食材表!$A:I,9,FALSE),0)</f>
        <v>0</v>
      </c>
      <c r="S311" s="342">
        <f t="shared" ref="S311" si="215">SUM(L311*70+M311*75+N311*120+O311*25+P311*60+Q311*45+R311*4)</f>
        <v>18.846153846153847</v>
      </c>
    </row>
    <row r="312" spans="1:19">
      <c r="A312" s="33" t="str">
        <f>"2"&amp;+$B311</f>
        <v>2海芽蛋花湯</v>
      </c>
      <c r="B312" s="360"/>
      <c r="C312" s="22" t="s">
        <v>48</v>
      </c>
      <c r="D312" s="79">
        <v>0.6</v>
      </c>
      <c r="E312" s="22"/>
      <c r="F312" s="36"/>
      <c r="G312" s="353"/>
      <c r="H312" s="93" t="str">
        <f t="shared" si="212"/>
        <v>雞蛋</v>
      </c>
      <c r="I312" s="86">
        <f>IFERROR(IF(LEN(D312)=LENB(D312),ROUND(LEFT(D312,2*LEN(D312)-LENB(D312))/$A$1,3),((ROUND(LEFT(D312,2*LEN(D312)-LENB(D312))/$A$1,3))*VLOOKUP(H312,食材表!$A:$B,2,FALSE))),"")</f>
        <v>1.2E-2</v>
      </c>
      <c r="J312" s="93">
        <f t="shared" si="213"/>
        <v>0</v>
      </c>
      <c r="K312" s="86" t="str">
        <f>IFERROR(IF(LEN(F312)=LENB(F312),ROUND(LEFT(F312,2*LEN(F312)-LENB(F312))/$A$1,3),((ROUND(LEFT(F312,2*LEN(F312)-LENB(F312))/$A$1,3))*VLOOKUP(J312,食材表!$A:$B,2,FALSE))),"")</f>
        <v/>
      </c>
      <c r="L312" s="343"/>
      <c r="M312" s="343"/>
      <c r="N312" s="343"/>
      <c r="O312" s="343"/>
      <c r="P312" s="343"/>
      <c r="Q312" s="343"/>
      <c r="R312" s="343"/>
      <c r="S312" s="343"/>
    </row>
    <row r="313" spans="1:19">
      <c r="A313" s="33" t="str">
        <f>"3"&amp;+$B311</f>
        <v>3海芽蛋花湯</v>
      </c>
      <c r="B313" s="361"/>
      <c r="C313" s="26"/>
      <c r="D313" s="37"/>
      <c r="E313" s="26"/>
      <c r="F313" s="37"/>
      <c r="G313" s="354"/>
      <c r="H313" s="92">
        <f t="shared" si="212"/>
        <v>0</v>
      </c>
      <c r="I313" s="84" t="str">
        <f>IFERROR(IF(LEN(D313)=LENB(D313),ROUND(LEFT(D313,2*LEN(D313)-LENB(D313))/$A$1,3),((ROUND(LEFT(D313,2*LEN(D313)-LENB(D313))/$A$1,3))*VLOOKUP(H313,食材表!$A:$B,2,FALSE))),"")</f>
        <v/>
      </c>
      <c r="J313" s="92">
        <f t="shared" si="213"/>
        <v>0</v>
      </c>
      <c r="K313" s="85" t="str">
        <f>IFERROR(IF(LEN(F313)=LENB(F313),ROUND(LEFT(F313,2*LEN(F313)-LENB(F313))/$A$1,3),((ROUND(LEFT(F313,2*LEN(F313)-LENB(F313))/$A$1,3))*VLOOKUP(J313,食材表!$A:$B,2,FALSE))),"")</f>
        <v/>
      </c>
      <c r="L313" s="344"/>
      <c r="M313" s="344"/>
      <c r="N313" s="344"/>
      <c r="O313" s="344"/>
      <c r="P313" s="344"/>
      <c r="Q313" s="344"/>
      <c r="R313" s="344"/>
      <c r="S313" s="344"/>
    </row>
    <row r="314" spans="1:19">
      <c r="A314" s="33" t="str">
        <f>"1"&amp;+$B314</f>
        <v>1海芽肉片湯</v>
      </c>
      <c r="B314" s="359" t="s">
        <v>1173</v>
      </c>
      <c r="C314" s="60" t="s">
        <v>417</v>
      </c>
      <c r="D314" s="78">
        <v>0.1</v>
      </c>
      <c r="E314" s="60"/>
      <c r="F314" s="36"/>
      <c r="G314" s="352" t="str">
        <f t="shared" ref="G314" si="216">B314</f>
        <v>海芽肉片湯</v>
      </c>
      <c r="H314" s="91" t="str">
        <f t="shared" ref="H314:H319" si="217">C314</f>
        <v>海帶芽</v>
      </c>
      <c r="I314" s="83">
        <f>IFERROR(IF(LEN(D314)=LENB(D314),ROUND(LEFT(D314,2*LEN(D314)-LENB(D314))/$A$1,3),((ROUND(LEFT(D314,2*LEN(D314)-LENB(D314))/$A$1,3))*VLOOKUP(H314,食材表!$A:$B,2,FALSE))),"")</f>
        <v>2E-3</v>
      </c>
      <c r="J314" s="91">
        <f t="shared" ref="J314:J319" si="218">E314</f>
        <v>0</v>
      </c>
      <c r="K314" s="83" t="str">
        <f>IFERROR(IF(LEN(F314)=LENB(F314),ROUND(LEFT(F314,2*LEN(F314)-LENB(F314))/$A$1,3),((ROUND(LEFT(F314,2*LEN(F314)-LENB(F314))/$A$1,3))*VLOOKUP(J314,食材表!$A:$B,2,FALSE))),"")</f>
        <v/>
      </c>
      <c r="L314" s="342">
        <f>IFERROR($I314*VLOOKUP($H314,食材表!$A:C,3,FALSE),0)+IFERROR($I315*VLOOKUP($H315,食材表!$A:C,3,FALSE),0)+IFERROR($I316*VLOOKUP($H316,食材表!$A:C,3,FALSE),0)+IFERROR($K314*VLOOKUP($J314,食材表!$A:C,3,FALSE),0)+IFERROR($K315*VLOOKUP($J315,食材表!$A:C,3,FALSE),0)+IFERROR($K316*VLOOKUP($J316,食材表!$A:C,3,FALSE),0)</f>
        <v>0</v>
      </c>
      <c r="M314" s="342">
        <f>IFERROR($I314*VLOOKUP($H314,食材表!$A:D,4,FALSE),0)+IFERROR($I315*VLOOKUP($H315,食材表!$A:D,4,FALSE),0)+IFERROR($I316*VLOOKUP($H316,食材表!$A:D,4,FALSE),0)+IFERROR($K314*VLOOKUP($J314,食材表!$A:D,4,FALSE),0)+IFERROR($K315*VLOOKUP($J315,食材表!$A:D,4,FALSE),0)+IFERROR($K316*VLOOKUP($J316,食材表!$A:D,4,FALSE),0)</f>
        <v>0.34285714285714286</v>
      </c>
      <c r="N314" s="342">
        <f>IFERROR($I314*VLOOKUP($H314,食材表!$A:E,5,FALSE),0)+IFERROR($I315*VLOOKUP($H315,食材表!$A:E,5,FALSE),0)+IFERROR($I316*VLOOKUP($H316,食材表!$A:E,5,FALSE),0)+IFERROR($K314*VLOOKUP($J314,食材表!$A:E,5,FALSE),0)+IFERROR($K315*VLOOKUP($J315,食材表!$A:E,5,FALSE),0)+IFERROR($K316*VLOOKUP($J316,食材表!$A:E,5,FALSE),0)</f>
        <v>0</v>
      </c>
      <c r="O314" s="342">
        <f>IFERROR($I314*VLOOKUP($H314,食材表!$A:F,6,FALSE),0)+IFERROR($I315*VLOOKUP($H315,食材表!$A:F,6,FALSE),0)+IFERROR($I316*VLOOKUP($H316,食材表!$A:F,6,FALSE),0)+IFERROR($K314*VLOOKUP($J314,食材表!$A:F,6,FALSE),0)+IFERROR($K315*VLOOKUP($J315,食材表!$A:F,6,FALSE),0)+IFERROR($K316*VLOOKUP($J316,食材表!$A:F,6,FALSE),0)</f>
        <v>0.22</v>
      </c>
      <c r="P314" s="342">
        <f>IFERROR($I314*VLOOKUP($H314,食材表!$A:G,7,FALSE),0)+IFERROR($I315*VLOOKUP($H315,食材表!$A:G,7,FALSE),0)+IFERROR($I316*VLOOKUP($H316,食材表!$A:G,7,FALSE),0)+IFERROR($K314*VLOOKUP($J314,食材表!$A:G,7,FALSE),0)+IFERROR($K315*VLOOKUP($J315,食材表!$A:G,7,FALSE),0)+IFERROR($K316*VLOOKUP($J316,食材表!$A:G,7,FALSE),0)</f>
        <v>0</v>
      </c>
      <c r="Q314" s="342">
        <f>IFERROR($I314*VLOOKUP($H314,食材表!$A:H,8,FALSE),0)+IFERROR($I315*VLOOKUP($H315,食材表!$A:H,8,FALSE),0)+IFERROR($I316*VLOOKUP($H316,食材表!$A:H,8,FALSE),0)+IFERROR($K314*VLOOKUP($J314,食材表!$A:H,8,FALSE),0)+IFERROR($K315*VLOOKUP($J315,食材表!$A:H,8,FALSE),0)+IFERROR($K316*VLOOKUP($J316,食材表!$A:H,8,FALSE),0)</f>
        <v>0</v>
      </c>
      <c r="R314" s="342">
        <f>IFERROR($I314*VLOOKUP($H314,食材表!$A:I,9,FALSE),0)+IFERROR($I315*VLOOKUP($H315,食材表!$A:I,9,FALSE),0)+IFERROR($I316*VLOOKUP($H316,食材表!$A:I,9,FALSE),0)+IFERROR($K314*VLOOKUP($J314,食材表!$A:I,9,FALSE),0)+IFERROR($K315*VLOOKUP($J315,食材表!$A:I,9,FALSE),0)+IFERROR($K316*VLOOKUP($J316,食材表!$A:I,9,FALSE),0)</f>
        <v>0</v>
      </c>
      <c r="S314" s="342">
        <f t="shared" ref="S314" si="219">SUM(L314*70+M314*75+N314*120+O314*25+P314*60+Q314*45+R314*4)</f>
        <v>31.214285714285715</v>
      </c>
    </row>
    <row r="315" spans="1:19">
      <c r="A315" s="33" t="str">
        <f>"2"&amp;+$B314</f>
        <v>2海芽肉片湯</v>
      </c>
      <c r="B315" s="360"/>
      <c r="C315" s="22" t="s">
        <v>188</v>
      </c>
      <c r="D315" s="79">
        <v>0.6</v>
      </c>
      <c r="E315" s="22"/>
      <c r="F315" s="36"/>
      <c r="G315" s="353"/>
      <c r="H315" s="93" t="str">
        <f t="shared" si="217"/>
        <v>豬肉片</v>
      </c>
      <c r="I315" s="86">
        <f>IFERROR(IF(LEN(D315)=LENB(D315),ROUND(LEFT(D315,2*LEN(D315)-LENB(D315))/$A$1,3),((ROUND(LEFT(D315,2*LEN(D315)-LENB(D315))/$A$1,3))*VLOOKUP(H315,食材表!$A:$B,2,FALSE))),"")</f>
        <v>1.2E-2</v>
      </c>
      <c r="J315" s="93">
        <f t="shared" si="218"/>
        <v>0</v>
      </c>
      <c r="K315" s="86" t="str">
        <f>IFERROR(IF(LEN(F315)=LENB(F315),ROUND(LEFT(F315,2*LEN(F315)-LENB(F315))/$A$1,3),((ROUND(LEFT(F315,2*LEN(F315)-LENB(F315))/$A$1,3))*VLOOKUP(J315,食材表!$A:$B,2,FALSE))),"")</f>
        <v/>
      </c>
      <c r="L315" s="343"/>
      <c r="M315" s="343"/>
      <c r="N315" s="343"/>
      <c r="O315" s="343"/>
      <c r="P315" s="343"/>
      <c r="Q315" s="343"/>
      <c r="R315" s="343"/>
      <c r="S315" s="343"/>
    </row>
    <row r="316" spans="1:19">
      <c r="A316" s="33" t="str">
        <f>"3"&amp;+$B314</f>
        <v>3海芽肉片湯</v>
      </c>
      <c r="B316" s="361"/>
      <c r="C316" s="26" t="s">
        <v>276</v>
      </c>
      <c r="D316" s="37">
        <v>0.1</v>
      </c>
      <c r="E316" s="26"/>
      <c r="F316" s="37"/>
      <c r="G316" s="354"/>
      <c r="H316" s="92" t="str">
        <f t="shared" si="217"/>
        <v>嫩薑絲</v>
      </c>
      <c r="I316" s="84">
        <f>IFERROR(IF(LEN(D316)=LENB(D316),ROUND(LEFT(D316,2*LEN(D316)-LENB(D316))/$A$1,3),((ROUND(LEFT(D316,2*LEN(D316)-LENB(D316))/$A$1,3))*VLOOKUP(H316,食材表!$A:$B,2,FALSE))),"")</f>
        <v>2E-3</v>
      </c>
      <c r="J316" s="92">
        <f t="shared" si="218"/>
        <v>0</v>
      </c>
      <c r="K316" s="85" t="str">
        <f>IFERROR(IF(LEN(F316)=LENB(F316),ROUND(LEFT(F316,2*LEN(F316)-LENB(F316))/$A$1,3),((ROUND(LEFT(F316,2*LEN(F316)-LENB(F316))/$A$1,3))*VLOOKUP(J316,食材表!$A:$B,2,FALSE))),"")</f>
        <v/>
      </c>
      <c r="L316" s="344"/>
      <c r="M316" s="344"/>
      <c r="N316" s="344"/>
      <c r="O316" s="344"/>
      <c r="P316" s="344"/>
      <c r="Q316" s="344"/>
      <c r="R316" s="344"/>
      <c r="S316" s="344"/>
    </row>
    <row r="317" spans="1:19">
      <c r="A317" s="33" t="str">
        <f>"1"&amp;+$B317</f>
        <v>1紫菜豆腐湯</v>
      </c>
      <c r="B317" s="355" t="s">
        <v>942</v>
      </c>
      <c r="C317" s="57" t="s">
        <v>943</v>
      </c>
      <c r="D317" s="56">
        <v>0.1</v>
      </c>
      <c r="E317" s="58" t="s">
        <v>75</v>
      </c>
      <c r="F317" s="56">
        <v>0.2</v>
      </c>
      <c r="G317" s="352" t="str">
        <f t="shared" ref="G317" si="220">B317</f>
        <v>紫菜豆腐湯</v>
      </c>
      <c r="H317" s="91" t="str">
        <f t="shared" si="217"/>
        <v>紫菜</v>
      </c>
      <c r="I317" s="83">
        <f>IFERROR(IF(LEN(D317)=LENB(D317),ROUND(LEFT(D317,2*LEN(D317)-LENB(D317))/$A$1,3),((ROUND(LEFT(D317,2*LEN(D317)-LENB(D317))/$A$1,3))*VLOOKUP(H317,食材表!$A:$B,2,FALSE))),"")</f>
        <v>2E-3</v>
      </c>
      <c r="J317" s="91" t="str">
        <f t="shared" si="218"/>
        <v>紅蘿蔔</v>
      </c>
      <c r="K317" s="83">
        <f>IFERROR(IF(LEN(F317)=LENB(F317),ROUND(LEFT(F317,2*LEN(F317)-LENB(F317))/$A$1,3),((ROUND(LEFT(F317,2*LEN(F317)-LENB(F317))/$A$1,3))*VLOOKUP(J317,食材表!$A:$B,2,FALSE))),"")</f>
        <v>4.0000000000000001E-3</v>
      </c>
      <c r="L317" s="342">
        <f>IFERROR($I317*VLOOKUP($H317,食材表!$A:C,3,FALSE),0)+IFERROR($I318*VLOOKUP($H318,食材表!$A:C,3,FALSE),0)+IFERROR($I319*VLOOKUP($H319,食材表!$A:C,3,FALSE),0)+IFERROR($K317*VLOOKUP($J317,食材表!$A:C,3,FALSE),0)+IFERROR($K318*VLOOKUP($J318,食材表!$A:C,3,FALSE),0)+IFERROR($K319*VLOOKUP($J319,食材表!$A:C,3,FALSE),0)</f>
        <v>0</v>
      </c>
      <c r="M317" s="342">
        <f>IFERROR($I317*VLOOKUP($H317,食材表!$A:D,4,FALSE),0)+IFERROR($I318*VLOOKUP($H318,食材表!$A:D,4,FALSE),0)+IFERROR($I319*VLOOKUP($H319,食材表!$A:D,4,FALSE),0)+IFERROR($K317*VLOOKUP($J317,食材表!$A:D,4,FALSE),0)+IFERROR($K318*VLOOKUP($J318,食材表!$A:D,4,FALSE),0)+IFERROR($K319*VLOOKUP($J319,食材表!$A:D,4,FALSE),0)</f>
        <v>0.48461538461538461</v>
      </c>
      <c r="N317" s="342">
        <f>IFERROR($I317*VLOOKUP($H317,食材表!$A:E,5,FALSE),0)+IFERROR($I318*VLOOKUP($H318,食材表!$A:E,5,FALSE),0)+IFERROR($I319*VLOOKUP($H319,食材表!$A:E,5,FALSE),0)+IFERROR($K317*VLOOKUP($J317,食材表!$A:E,5,FALSE),0)+IFERROR($K318*VLOOKUP($J318,食材表!$A:E,5,FALSE),0)+IFERROR($K319*VLOOKUP($J319,食材表!$A:E,5,FALSE),0)</f>
        <v>0</v>
      </c>
      <c r="O317" s="342">
        <f>IFERROR($I317*VLOOKUP($H317,食材表!$A:F,6,FALSE),0)+IFERROR($I318*VLOOKUP($H318,食材表!$A:F,6,FALSE),0)+IFERROR($I319*VLOOKUP($H319,食材表!$A:F,6,FALSE),0)+IFERROR($K317*VLOOKUP($J317,食材表!$A:F,6,FALSE),0)+IFERROR($K318*VLOOKUP($J318,食材表!$A:F,6,FALSE),0)+IFERROR($K319*VLOOKUP($J319,食材表!$A:F,6,FALSE),0)</f>
        <v>0.04</v>
      </c>
      <c r="P317" s="342">
        <f>IFERROR($I317*VLOOKUP($H317,食材表!$A:G,7,FALSE),0)+IFERROR($I318*VLOOKUP($H318,食材表!$A:G,7,FALSE),0)+IFERROR($I319*VLOOKUP($H319,食材表!$A:G,7,FALSE),0)+IFERROR($K317*VLOOKUP($J317,食材表!$A:G,7,FALSE),0)+IFERROR($K318*VLOOKUP($J318,食材表!$A:G,7,FALSE),0)+IFERROR($K319*VLOOKUP($J319,食材表!$A:G,7,FALSE),0)</f>
        <v>0</v>
      </c>
      <c r="Q317" s="342">
        <f>IFERROR($I317*VLOOKUP($H317,食材表!$A:H,8,FALSE),0)+IFERROR($I318*VLOOKUP($H318,食材表!$A:H,8,FALSE),0)+IFERROR($I319*VLOOKUP($H319,食材表!$A:H,8,FALSE),0)+IFERROR($K317*VLOOKUP($J317,食材表!$A:H,8,FALSE),0)+IFERROR($K318*VLOOKUP($J318,食材表!$A:H,8,FALSE),0)+IFERROR($K319*VLOOKUP($J319,食材表!$A:H,8,FALSE),0)</f>
        <v>0</v>
      </c>
      <c r="R317" s="342">
        <f>IFERROR($I317*VLOOKUP($H317,食材表!$A:I,9,FALSE),0)+IFERROR($I318*VLOOKUP($H318,食材表!$A:I,9,FALSE),0)+IFERROR($I319*VLOOKUP($H319,食材表!$A:I,9,FALSE),0)+IFERROR($K317*VLOOKUP($J317,食材表!$A:I,9,FALSE),0)+IFERROR($K318*VLOOKUP($J318,食材表!$A:I,9,FALSE),0)+IFERROR($K319*VLOOKUP($J319,食材表!$A:I,9,FALSE),0)</f>
        <v>0</v>
      </c>
      <c r="S317" s="342">
        <f t="shared" ref="S317" si="221">SUM(L317*70+M317*75+N317*120+O317*25+P317*60+Q317*45+R317*4)</f>
        <v>37.346153846153847</v>
      </c>
    </row>
    <row r="318" spans="1:19">
      <c r="A318" s="33" t="str">
        <f>"2"&amp;+$B317</f>
        <v>2紫菜豆腐湯</v>
      </c>
      <c r="B318" s="356"/>
      <c r="C318" s="50" t="s">
        <v>100</v>
      </c>
      <c r="D318" s="40">
        <v>1.2</v>
      </c>
      <c r="E318" s="27"/>
      <c r="F318" s="33"/>
      <c r="G318" s="353"/>
      <c r="H318" s="93" t="str">
        <f t="shared" si="217"/>
        <v>板豆腐</v>
      </c>
      <c r="I318" s="86">
        <f>IFERROR(IF(LEN(D318)=LENB(D318),ROUND(LEFT(D318,2*LEN(D318)-LENB(D318))/$A$1,3),((ROUND(LEFT(D318,2*LEN(D318)-LENB(D318))/$A$1,3))*VLOOKUP(H318,食材表!$A:$B,2,FALSE))),"")</f>
        <v>2.4E-2</v>
      </c>
      <c r="J318" s="93">
        <f t="shared" si="218"/>
        <v>0</v>
      </c>
      <c r="K318" s="86" t="str">
        <f>IFERROR(IF(LEN(F318)=LENB(F318),ROUND(LEFT(F318,2*LEN(F318)-LENB(F318))/$A$1,3),((ROUND(LEFT(F318,2*LEN(F318)-LENB(F318))/$A$1,3))*VLOOKUP(J318,食材表!$A:$B,2,FALSE))),"")</f>
        <v/>
      </c>
      <c r="L318" s="343"/>
      <c r="M318" s="343"/>
      <c r="N318" s="343"/>
      <c r="O318" s="343"/>
      <c r="P318" s="343"/>
      <c r="Q318" s="343"/>
      <c r="R318" s="343"/>
      <c r="S318" s="343"/>
    </row>
    <row r="319" spans="1:19">
      <c r="A319" s="33" t="str">
        <f>"3"&amp;+$B317</f>
        <v>3紫菜豆腐湯</v>
      </c>
      <c r="B319" s="357"/>
      <c r="C319" s="28" t="s">
        <v>48</v>
      </c>
      <c r="D319" s="8">
        <v>0.6</v>
      </c>
      <c r="E319" s="29"/>
      <c r="F319" s="8"/>
      <c r="G319" s="354"/>
      <c r="H319" s="92" t="str">
        <f t="shared" si="217"/>
        <v>雞蛋</v>
      </c>
      <c r="I319" s="84">
        <f>IFERROR(IF(LEN(D319)=LENB(D319),ROUND(LEFT(D319,2*LEN(D319)-LENB(D319))/$A$1,3),((ROUND(LEFT(D319,2*LEN(D319)-LENB(D319))/$A$1,3))*VLOOKUP(H319,食材表!$A:$B,2,FALSE))),"")</f>
        <v>1.2E-2</v>
      </c>
      <c r="J319" s="92">
        <f t="shared" si="218"/>
        <v>0</v>
      </c>
      <c r="K319" s="85" t="str">
        <f>IFERROR(IF(LEN(F319)=LENB(F319),ROUND(LEFT(F319,2*LEN(F319)-LENB(F319))/$A$1,3),((ROUND(LEFT(F319,2*LEN(F319)-LENB(F319))/$A$1,3))*VLOOKUP(J319,食材表!$A:$B,2,FALSE))),"")</f>
        <v/>
      </c>
      <c r="L319" s="344"/>
      <c r="M319" s="344"/>
      <c r="N319" s="344"/>
      <c r="O319" s="344"/>
      <c r="P319" s="344"/>
      <c r="Q319" s="344"/>
      <c r="R319" s="344"/>
      <c r="S319" s="344"/>
    </row>
    <row r="320" spans="1:19">
      <c r="A320" s="33" t="str">
        <f>"1"&amp;+$B320</f>
        <v>1海芽豆腐湯</v>
      </c>
      <c r="B320" s="349" t="s">
        <v>998</v>
      </c>
      <c r="C320" s="60" t="s">
        <v>417</v>
      </c>
      <c r="D320" s="59">
        <v>0.1</v>
      </c>
      <c r="E320" s="60"/>
      <c r="F320" s="36"/>
      <c r="G320" s="352" t="str">
        <f>B320</f>
        <v>海芽豆腐湯</v>
      </c>
      <c r="H320" s="91" t="str">
        <f>C320</f>
        <v>海帶芽</v>
      </c>
      <c r="I320" s="83">
        <f>IFERROR(IF(LEN(D320)=LENB(D320),ROUND(LEFT(D320,2*LEN(D320)-LENB(D320))/$A$1,3),((ROUND(LEFT(D320,2*LEN(D320)-LENB(D320))/$A$1,3))*VLOOKUP(H320,食材表!$A:$B,2,FALSE))),"")</f>
        <v>2E-3</v>
      </c>
      <c r="J320" s="91">
        <f>E320</f>
        <v>0</v>
      </c>
      <c r="K320" s="83" t="str">
        <f>IFERROR(IF(LEN(F320)=LENB(F320),ROUND(LEFT(F320,2*LEN(F320)-LENB(F320))/$A$1,3),((ROUND(LEFT(F320,2*LEN(F320)-LENB(F320))/$A$1,3))*VLOOKUP(J320,食材表!$A:$B,2,FALSE))),"")</f>
        <v/>
      </c>
      <c r="L320" s="342">
        <f>IFERROR($I320*VLOOKUP($H320,食材表!$A:C,3,FALSE),0)+IFERROR($I321*VLOOKUP($H321,食材表!$A:C,3,FALSE),0)+IFERROR($I322*VLOOKUP($H322,食材表!$A:C,3,FALSE),0)+IFERROR($K320*VLOOKUP($J320,食材表!$A:C,3,FALSE),0)+IFERROR($K321*VLOOKUP($J321,食材表!$A:C,3,FALSE),0)+IFERROR($K322*VLOOKUP($J322,食材表!$A:C,3,FALSE),0)</f>
        <v>0</v>
      </c>
      <c r="M320" s="342">
        <f>IFERROR($I320*VLOOKUP($H320,食材表!$A:D,4,FALSE),0)+IFERROR($I321*VLOOKUP($H321,食材表!$A:D,4,FALSE),0)+IFERROR($I322*VLOOKUP($H322,食材表!$A:D,4,FALSE),0)+IFERROR($K320*VLOOKUP($J320,食材表!$A:D,4,FALSE),0)+IFERROR($K321*VLOOKUP($J321,食材表!$A:D,4,FALSE),0)+IFERROR($K322*VLOOKUP($J322,食材表!$A:D,4,FALSE),0)</f>
        <v>0.6</v>
      </c>
      <c r="N320" s="342">
        <f>IFERROR($I320*VLOOKUP($H320,食材表!$A:E,5,FALSE),0)+IFERROR($I321*VLOOKUP($H321,食材表!$A:E,5,FALSE),0)+IFERROR($I322*VLOOKUP($H322,食材表!$A:E,5,FALSE),0)+IFERROR($K320*VLOOKUP($J320,食材表!$A:E,5,FALSE),0)+IFERROR($K321*VLOOKUP($J321,食材表!$A:E,5,FALSE),0)+IFERROR($K322*VLOOKUP($J322,食材表!$A:E,5,FALSE),0)</f>
        <v>0</v>
      </c>
      <c r="O320" s="342">
        <f>IFERROR($I320*VLOOKUP($H320,食材表!$A:F,6,FALSE),0)+IFERROR($I321*VLOOKUP($H321,食材表!$A:F,6,FALSE),0)+IFERROR($I322*VLOOKUP($H322,食材表!$A:F,6,FALSE),0)+IFERROR($K320*VLOOKUP($J320,食材表!$A:F,6,FALSE),0)+IFERROR($K321*VLOOKUP($J321,食材表!$A:F,6,FALSE),0)+IFERROR($K322*VLOOKUP($J322,食材表!$A:F,6,FALSE),0)</f>
        <v>0.22</v>
      </c>
      <c r="P320" s="342">
        <f>IFERROR($I320*VLOOKUP($H320,食材表!$A:G,7,FALSE),0)+IFERROR($I321*VLOOKUP($H321,食材表!$A:G,7,FALSE),0)+IFERROR($I322*VLOOKUP($H322,食材表!$A:G,7,FALSE),0)+IFERROR($K320*VLOOKUP($J320,食材表!$A:G,7,FALSE),0)+IFERROR($K321*VLOOKUP($J321,食材表!$A:G,7,FALSE),0)+IFERROR($K322*VLOOKUP($J322,食材表!$A:G,7,FALSE),0)</f>
        <v>0</v>
      </c>
      <c r="Q320" s="342">
        <f>IFERROR($I320*VLOOKUP($H320,食材表!$A:H,8,FALSE),0)+IFERROR($I321*VLOOKUP($H321,食材表!$A:H,8,FALSE),0)+IFERROR($I322*VLOOKUP($H322,食材表!$A:H,8,FALSE),0)+IFERROR($K320*VLOOKUP($J320,食材表!$A:H,8,FALSE),0)+IFERROR($K321*VLOOKUP($J321,食材表!$A:H,8,FALSE),0)+IFERROR($K322*VLOOKUP($J322,食材表!$A:H,8,FALSE),0)</f>
        <v>0</v>
      </c>
      <c r="R320" s="342">
        <f>IFERROR($I320*VLOOKUP($H320,食材表!$A:I,9,FALSE),0)+IFERROR($I321*VLOOKUP($H321,食材表!$A:I,9,FALSE),0)+IFERROR($I322*VLOOKUP($H322,食材表!$A:I,9,FALSE),0)+IFERROR($K320*VLOOKUP($J320,食材表!$A:I,9,FALSE),0)+IFERROR($K321*VLOOKUP($J321,食材表!$A:I,9,FALSE),0)+IFERROR($K322*VLOOKUP($J322,食材表!$A:I,9,FALSE),0)</f>
        <v>0</v>
      </c>
      <c r="S320" s="342">
        <f>SUM(L320*70+M320*75+N320*120+O320*25+P320*60+Q320*45+R320*4)</f>
        <v>50.5</v>
      </c>
    </row>
    <row r="321" spans="1:19">
      <c r="A321" s="33" t="str">
        <f>"2"&amp;+$B320</f>
        <v>2海芽豆腐湯</v>
      </c>
      <c r="B321" s="350"/>
      <c r="C321" s="22" t="s">
        <v>100</v>
      </c>
      <c r="D321" s="36">
        <v>2.4</v>
      </c>
      <c r="E321" s="22"/>
      <c r="F321" s="36"/>
      <c r="G321" s="353"/>
      <c r="H321" s="93" t="str">
        <f t="shared" ref="H321:H322" si="222">C321</f>
        <v>板豆腐</v>
      </c>
      <c r="I321" s="86">
        <f>IFERROR(IF(LEN(D321)=LENB(D321),ROUND(LEFT(D321,2*LEN(D321)-LENB(D321))/$A$1,3),((ROUND(LEFT(D321,2*LEN(D321)-LENB(D321))/$A$1,3))*VLOOKUP(H321,食材表!$A:$B,2,FALSE))),"")</f>
        <v>4.8000000000000001E-2</v>
      </c>
      <c r="J321" s="93">
        <f t="shared" ref="J321:J322" si="223">E321</f>
        <v>0</v>
      </c>
      <c r="K321" s="86" t="str">
        <f>IFERROR(IF(LEN(F321)=LENB(F321),ROUND(LEFT(F321,2*LEN(F321)-LENB(F321))/$A$1,3),((ROUND(LEFT(F321,2*LEN(F321)-LENB(F321))/$A$1,3))*VLOOKUP(J321,食材表!$A:$B,2,FALSE))),"")</f>
        <v/>
      </c>
      <c r="L321" s="343"/>
      <c r="M321" s="343"/>
      <c r="N321" s="343"/>
      <c r="O321" s="343"/>
      <c r="P321" s="343"/>
      <c r="Q321" s="343"/>
      <c r="R321" s="343"/>
      <c r="S321" s="343"/>
    </row>
    <row r="322" spans="1:19">
      <c r="A322" s="33" t="str">
        <f>"3"&amp;+$B320</f>
        <v>3海芽豆腐湯</v>
      </c>
      <c r="B322" s="351"/>
      <c r="C322" s="26" t="s">
        <v>183</v>
      </c>
      <c r="D322" s="37">
        <v>0.1</v>
      </c>
      <c r="E322" s="26"/>
      <c r="F322" s="37"/>
      <c r="G322" s="354"/>
      <c r="H322" s="92" t="str">
        <f t="shared" si="222"/>
        <v>薑絲</v>
      </c>
      <c r="I322" s="84">
        <f>IFERROR(IF(LEN(D322)=LENB(D322),ROUND(LEFT(D322,2*LEN(D322)-LENB(D322))/$A$1,3),((ROUND(LEFT(D322,2*LEN(D322)-LENB(D322))/$A$1,3))*VLOOKUP(H322,食材表!$A:$B,2,FALSE))),"")</f>
        <v>2E-3</v>
      </c>
      <c r="J322" s="92">
        <f t="shared" si="223"/>
        <v>0</v>
      </c>
      <c r="K322" s="85" t="str">
        <f>IFERROR(IF(LEN(F322)=LENB(F322),ROUND(LEFT(F322,2*LEN(F322)-LENB(F322))/$A$1,3),((ROUND(LEFT(F322,2*LEN(F322)-LENB(F322))/$A$1,3))*VLOOKUP(J322,食材表!$A:$B,2,FALSE))),"")</f>
        <v/>
      </c>
      <c r="L322" s="344"/>
      <c r="M322" s="344"/>
      <c r="N322" s="344"/>
      <c r="O322" s="344"/>
      <c r="P322" s="344"/>
      <c r="Q322" s="344"/>
      <c r="R322" s="344"/>
      <c r="S322" s="344"/>
    </row>
    <row r="323" spans="1:19">
      <c r="A323" s="33" t="str">
        <f>"1"&amp;+$B323</f>
        <v>1羅宋湯</v>
      </c>
      <c r="B323" s="272" t="s">
        <v>1002</v>
      </c>
      <c r="C323" s="60" t="s">
        <v>105</v>
      </c>
      <c r="D323" s="59">
        <v>2</v>
      </c>
      <c r="E323" s="89" t="s">
        <v>163</v>
      </c>
      <c r="F323" s="59">
        <v>0.6</v>
      </c>
      <c r="G323" s="352" t="str">
        <f>B323</f>
        <v>羅宋湯</v>
      </c>
      <c r="H323" s="91" t="str">
        <f>C323</f>
        <v>小排丁</v>
      </c>
      <c r="I323" s="83">
        <f>IFERROR(IF(LEN(D323)=LENB(D323),ROUND(LEFT(D323,2*LEN(D323)-LENB(D323))/$A$1,3),((ROUND(LEFT(D323,2*LEN(D323)-LENB(D323))/$A$1,3))*VLOOKUP(H323,食材表!$A:$B,2,FALSE))),"")</f>
        <v>0.04</v>
      </c>
      <c r="J323" s="91" t="str">
        <f>E323</f>
        <v>馬鈴薯</v>
      </c>
      <c r="K323" s="83">
        <f>IFERROR(IF(LEN(F323)=LENB(F323),ROUND(LEFT(F323,2*LEN(F323)-LENB(F323))/$A$1,3),((ROUND(LEFT(F323,2*LEN(F323)-LENB(F323))/$A$1,3))*VLOOKUP(J323,食材表!$A:$B,2,FALSE))),"")</f>
        <v>1.2E-2</v>
      </c>
      <c r="L323" s="342">
        <f>IFERROR($I323*VLOOKUP($H323,食材表!$A:C,3,FALSE),0)+IFERROR($I324*VLOOKUP($H324,食材表!$A:C,3,FALSE),0)+IFERROR($I325*VLOOKUP($H325,食材表!$A:C,3,FALSE),0)+IFERROR($K323*VLOOKUP($J323,食材表!$A:C,3,FALSE),0)+IFERROR($K324*VLOOKUP($J324,食材表!$A:C,3,FALSE),0)+IFERROR($K325*VLOOKUP($J325,食材表!$A:C,3,FALSE),0)</f>
        <v>0.13333333333333333</v>
      </c>
      <c r="M323" s="342">
        <f>IFERROR($I323*VLOOKUP($H323,食材表!$A:D,4,FALSE),0)+IFERROR($I324*VLOOKUP($H324,食材表!$A:D,4,FALSE),0)+IFERROR($I325*VLOOKUP($H325,食材表!$A:D,4,FALSE),0)+IFERROR($K323*VLOOKUP($J323,食材表!$A:D,4,FALSE),0)+IFERROR($K324*VLOOKUP($J324,食材表!$A:D,4,FALSE),0)+IFERROR($K325*VLOOKUP($J325,食材表!$A:D,4,FALSE),0)</f>
        <v>0.68965517241379315</v>
      </c>
      <c r="N323" s="342">
        <f>IFERROR($I323*VLOOKUP($H323,食材表!$A:E,5,FALSE),0)+IFERROR($I324*VLOOKUP($H324,食材表!$A:E,5,FALSE),0)+IFERROR($I325*VLOOKUP($H325,食材表!$A:E,5,FALSE),0)+IFERROR($K323*VLOOKUP($J323,食材表!$A:E,5,FALSE),0)+IFERROR($K324*VLOOKUP($J324,食材表!$A:E,5,FALSE),0)+IFERROR($K325*VLOOKUP($J325,食材表!$A:E,5,FALSE),0)</f>
        <v>0</v>
      </c>
      <c r="O323" s="342">
        <f>IFERROR($I323*VLOOKUP($H323,食材表!$A:F,6,FALSE),0)+IFERROR($I324*VLOOKUP($H324,食材表!$A:F,6,FALSE),0)+IFERROR($I325*VLOOKUP($H325,食材表!$A:F,6,FALSE),0)+IFERROR($K323*VLOOKUP($J323,食材表!$A:F,6,FALSE),0)+IFERROR($K324*VLOOKUP($J324,食材表!$A:F,6,FALSE),0)+IFERROR($K325*VLOOKUP($J325,食材表!$A:F,6,FALSE),0)</f>
        <v>0.16</v>
      </c>
      <c r="P323" s="342">
        <f>IFERROR($I323*VLOOKUP($H323,食材表!$A:G,7,FALSE),0)+IFERROR($I324*VLOOKUP($H324,食材表!$A:G,7,FALSE),0)+IFERROR($I325*VLOOKUP($H325,食材表!$A:G,7,FALSE),0)+IFERROR($K323*VLOOKUP($J323,食材表!$A:G,7,FALSE),0)+IFERROR($K324*VLOOKUP($J324,食材表!$A:G,7,FALSE),0)+IFERROR($K325*VLOOKUP($J325,食材表!$A:G,7,FALSE),0)</f>
        <v>0</v>
      </c>
      <c r="Q323" s="342">
        <f>IFERROR($I323*VLOOKUP($H323,食材表!$A:H,8,FALSE),0)+IFERROR($I324*VLOOKUP($H324,食材表!$A:H,8,FALSE),0)+IFERROR($I325*VLOOKUP($H325,食材表!$A:H,8,FALSE),0)+IFERROR($K323*VLOOKUP($J323,食材表!$A:H,8,FALSE),0)+IFERROR($K324*VLOOKUP($J324,食材表!$A:H,8,FALSE),0)+IFERROR($K325*VLOOKUP($J325,食材表!$A:H,8,FALSE),0)</f>
        <v>0</v>
      </c>
      <c r="R323" s="342">
        <f>IFERROR($I323*VLOOKUP($H323,食材表!$A:I,9,FALSE),0)+IFERROR($I324*VLOOKUP($H324,食材表!$A:I,9,FALSE),0)+IFERROR($I325*VLOOKUP($H325,食材表!$A:I,9,FALSE),0)+IFERROR($K323*VLOOKUP($J323,食材表!$A:I,9,FALSE),0)+IFERROR($K324*VLOOKUP($J324,食材表!$A:I,9,FALSE),0)+IFERROR($K325*VLOOKUP($J325,食材表!$A:I,9,FALSE),0)</f>
        <v>0</v>
      </c>
      <c r="S323" s="342">
        <f>SUM(L323*70+M323*75+N323*120+O323*25+P323*60+Q323*45+R323*4)</f>
        <v>65.05747126436782</v>
      </c>
    </row>
    <row r="324" spans="1:19">
      <c r="A324" s="33" t="str">
        <f>"2"&amp;+$B323</f>
        <v>2羅宋湯</v>
      </c>
      <c r="B324" s="272"/>
      <c r="C324" s="22" t="s">
        <v>161</v>
      </c>
      <c r="D324" s="36">
        <v>0.6</v>
      </c>
      <c r="E324" s="23" t="s">
        <v>75</v>
      </c>
      <c r="F324" s="41">
        <v>0.2</v>
      </c>
      <c r="G324" s="353"/>
      <c r="H324" s="93" t="str">
        <f t="shared" ref="H324:H325" si="224">C324</f>
        <v>洋蔥</v>
      </c>
      <c r="I324" s="86">
        <f>IFERROR(IF(LEN(D324)=LENB(D324),ROUND(LEFT(D324,2*LEN(D324)-LENB(D324))/$A$1,3),((ROUND(LEFT(D324,2*LEN(D324)-LENB(D324))/$A$1,3))*VLOOKUP(H324,食材表!$A:$B,2,FALSE))),"")</f>
        <v>1.2E-2</v>
      </c>
      <c r="J324" s="93" t="str">
        <f t="shared" ref="J324:J325" si="225">E324</f>
        <v>紅蘿蔔</v>
      </c>
      <c r="K324" s="86">
        <f>IFERROR(IF(LEN(F324)=LENB(F324),ROUND(LEFT(F324,2*LEN(F324)-LENB(F324))/$A$1,3),((ROUND(LEFT(F324,2*LEN(F324)-LENB(F324))/$A$1,3))*VLOOKUP(J324,食材表!$A:$B,2,FALSE))),"")</f>
        <v>4.0000000000000001E-3</v>
      </c>
      <c r="L324" s="343"/>
      <c r="M324" s="343"/>
      <c r="N324" s="343"/>
      <c r="O324" s="343"/>
      <c r="P324" s="343"/>
      <c r="Q324" s="343"/>
      <c r="R324" s="343"/>
      <c r="S324" s="343"/>
    </row>
    <row r="325" spans="1:19">
      <c r="A325" s="33" t="str">
        <f>"3"&amp;+$B323</f>
        <v>3羅宋湯</v>
      </c>
      <c r="B325" s="273"/>
      <c r="C325" s="26" t="s">
        <v>243</v>
      </c>
      <c r="D325" s="37">
        <v>0.6</v>
      </c>
      <c r="E325" s="25" t="s">
        <v>1003</v>
      </c>
      <c r="F325" s="37" t="s">
        <v>295</v>
      </c>
      <c r="G325" s="354"/>
      <c r="H325" s="92" t="str">
        <f t="shared" si="224"/>
        <v>番茄</v>
      </c>
      <c r="I325" s="84">
        <f>IFERROR(IF(LEN(D325)=LENB(D325),ROUND(LEFT(D325,2*LEN(D325)-LENB(D325))/$A$1,3),((ROUND(LEFT(D325,2*LEN(D325)-LENB(D325))/$A$1,3))*VLOOKUP(H325,食材表!$A:$B,2,FALSE))),"")</f>
        <v>1.2E-2</v>
      </c>
      <c r="J325" s="92" t="str">
        <f t="shared" si="225"/>
        <v>番茄醬(小)</v>
      </c>
      <c r="K325" s="85" t="str">
        <f>IFERROR(IF(LEN(F325)=LENB(F325),ROUND(LEFT(F325,2*LEN(F325)-LENB(F325))/$A$1,3),((ROUND(LEFT(F325,2*LEN(F325)-LENB(F325))/$A$1,3))*VLOOKUP(J325,食材表!$A:$B,2,FALSE))),"")</f>
        <v/>
      </c>
      <c r="L325" s="344"/>
      <c r="M325" s="344"/>
      <c r="N325" s="344"/>
      <c r="O325" s="344"/>
      <c r="P325" s="344"/>
      <c r="Q325" s="344"/>
      <c r="R325" s="344"/>
      <c r="S325" s="344"/>
    </row>
    <row r="326" spans="1:19">
      <c r="A326" s="33" t="str">
        <f>"1"&amp;+$B326</f>
        <v>1青菜豆腐湯</v>
      </c>
      <c r="B326" s="349" t="s">
        <v>1034</v>
      </c>
      <c r="C326" s="38" t="s">
        <v>1035</v>
      </c>
      <c r="D326" s="59">
        <v>1.2</v>
      </c>
      <c r="E326" s="22"/>
      <c r="F326" s="36"/>
      <c r="G326" s="352" t="str">
        <f>B326</f>
        <v>青菜豆腐湯</v>
      </c>
      <c r="H326" s="91" t="str">
        <f>C326</f>
        <v>板豆腐</v>
      </c>
      <c r="I326" s="83">
        <f>IFERROR(IF(LEN(D326)=LENB(D326),ROUND(LEFT(D326,2*LEN(D326)-LENB(D326))/$A$1,3),((ROUND(LEFT(D326,2*LEN(D326)-LENB(D326))/$A$1,3))*VLOOKUP(H326,食材表!$A:$B,2,FALSE))),"")</f>
        <v>2.4E-2</v>
      </c>
      <c r="J326" s="91">
        <f>E326</f>
        <v>0</v>
      </c>
      <c r="K326" s="83" t="str">
        <f>IFERROR(IF(LEN(F326)=LENB(F326),ROUND(LEFT(F326,2*LEN(F326)-LENB(F326))/$A$1,3),((ROUND(LEFT(F326,2*LEN(F326)-LENB(F326))/$A$1,3))*VLOOKUP(J326,食材表!$A:$B,2,FALSE))),"")</f>
        <v/>
      </c>
      <c r="L326" s="342">
        <f>IFERROR($I326*VLOOKUP($H326,食材表!$A:C,3,FALSE),0)+IFERROR($I327*VLOOKUP($H327,食材表!$A:C,3,FALSE),0)+IFERROR($I328*VLOOKUP($H328,食材表!$A:C,3,FALSE),0)+IFERROR($K326*VLOOKUP($J326,食材表!$A:C,3,FALSE),0)+IFERROR($K327*VLOOKUP($J327,食材表!$A:C,3,FALSE),0)+IFERROR($K328*VLOOKUP($J328,食材表!$A:C,3,FALSE),0)</f>
        <v>0</v>
      </c>
      <c r="M326" s="342">
        <f>IFERROR($I326*VLOOKUP($H326,食材表!$A:D,4,FALSE),0)+IFERROR($I327*VLOOKUP($H327,食材表!$A:D,4,FALSE),0)+IFERROR($I328*VLOOKUP($H328,食材表!$A:D,4,FALSE),0)+IFERROR($K326*VLOOKUP($J326,食材表!$A:D,4,FALSE),0)+IFERROR($K327*VLOOKUP($J327,食材表!$A:D,4,FALSE),0)+IFERROR($K328*VLOOKUP($J328,食材表!$A:D,4,FALSE),0)</f>
        <v>0.3</v>
      </c>
      <c r="N326" s="342">
        <f>IFERROR($I326*VLOOKUP($H326,食材表!$A:E,5,FALSE),0)+IFERROR($I327*VLOOKUP($H327,食材表!$A:E,5,FALSE),0)+IFERROR($I328*VLOOKUP($H328,食材表!$A:E,5,FALSE),0)+IFERROR($K326*VLOOKUP($J326,食材表!$A:E,5,FALSE),0)+IFERROR($K327*VLOOKUP($J327,食材表!$A:E,5,FALSE),0)+IFERROR($K328*VLOOKUP($J328,食材表!$A:E,5,FALSE),0)</f>
        <v>0</v>
      </c>
      <c r="O326" s="342">
        <f>IFERROR($I326*VLOOKUP($H326,食材表!$A:F,6,FALSE),0)+IFERROR($I327*VLOOKUP($H327,食材表!$A:F,6,FALSE),0)+IFERROR($I328*VLOOKUP($H328,食材表!$A:F,6,FALSE),0)+IFERROR($K326*VLOOKUP($J326,食材表!$A:F,6,FALSE),0)+IFERROR($K327*VLOOKUP($J327,食材表!$A:F,6,FALSE),0)+IFERROR($K328*VLOOKUP($J328,食材表!$A:F,6,FALSE),0)</f>
        <v>0.21000000000000002</v>
      </c>
      <c r="P326" s="342">
        <f>IFERROR($I326*VLOOKUP($H326,食材表!$A:G,7,FALSE),0)+IFERROR($I327*VLOOKUP($H327,食材表!$A:G,7,FALSE),0)+IFERROR($I328*VLOOKUP($H328,食材表!$A:G,7,FALSE),0)+IFERROR($K326*VLOOKUP($J326,食材表!$A:G,7,FALSE),0)+IFERROR($K327*VLOOKUP($J327,食材表!$A:G,7,FALSE),0)+IFERROR($K328*VLOOKUP($J328,食材表!$A:G,7,FALSE),0)</f>
        <v>0</v>
      </c>
      <c r="Q326" s="342">
        <f>IFERROR($I326*VLOOKUP($H326,食材表!$A:H,8,FALSE),0)+IFERROR($I327*VLOOKUP($H327,食材表!$A:H,8,FALSE),0)+IFERROR($I328*VLOOKUP($H328,食材表!$A:H,8,FALSE),0)+IFERROR($K326*VLOOKUP($J326,食材表!$A:H,8,FALSE),0)+IFERROR($K327*VLOOKUP($J327,食材表!$A:H,8,FALSE),0)+IFERROR($K328*VLOOKUP($J328,食材表!$A:H,8,FALSE),0)</f>
        <v>0</v>
      </c>
      <c r="R326" s="342">
        <f>IFERROR($I326*VLOOKUP($H326,食材表!$A:I,9,FALSE),0)+IFERROR($I327*VLOOKUP($H327,食材表!$A:I,9,FALSE),0)+IFERROR($I328*VLOOKUP($H328,食材表!$A:I,9,FALSE),0)+IFERROR($K326*VLOOKUP($J326,食材表!$A:I,9,FALSE),0)+IFERROR($K327*VLOOKUP($J327,食材表!$A:I,9,FALSE),0)+IFERROR($K328*VLOOKUP($J328,食材表!$A:I,9,FALSE),0)</f>
        <v>0</v>
      </c>
      <c r="S326" s="342">
        <f>SUM(L326*70+M326*75+N326*120+O326*25+P326*60+Q326*45+R326*4)</f>
        <v>27.75</v>
      </c>
    </row>
    <row r="327" spans="1:19">
      <c r="A327" s="33" t="str">
        <f>"2"&amp;+$B326</f>
        <v>2青菜豆腐湯</v>
      </c>
      <c r="B327" s="350"/>
      <c r="C327" s="80" t="s">
        <v>239</v>
      </c>
      <c r="D327" s="36">
        <v>0.8</v>
      </c>
      <c r="E327" s="38"/>
      <c r="F327" s="36"/>
      <c r="G327" s="353"/>
      <c r="H327" s="93" t="str">
        <f t="shared" ref="H327:H328" si="226">C327</f>
        <v>小白菜</v>
      </c>
      <c r="I327" s="86">
        <f>IFERROR(IF(LEN(D327)=LENB(D327),ROUND(LEFT(D327,2*LEN(D327)-LENB(D327))/$A$1,3),((ROUND(LEFT(D327,2*LEN(D327)-LENB(D327))/$A$1,3))*VLOOKUP(H327,食材表!$A:$B,2,FALSE))),"")</f>
        <v>1.6E-2</v>
      </c>
      <c r="J327" s="93">
        <f t="shared" ref="J327:J328" si="227">E327</f>
        <v>0</v>
      </c>
      <c r="K327" s="86" t="str">
        <f>IFERROR(IF(LEN(F327)=LENB(F327),ROUND(LEFT(F327,2*LEN(F327)-LENB(F327))/$A$1,3),((ROUND(LEFT(F327,2*LEN(F327)-LENB(F327))/$A$1,3))*VLOOKUP(J327,食材表!$A:$B,2,FALSE))),"")</f>
        <v/>
      </c>
      <c r="L327" s="343"/>
      <c r="M327" s="343"/>
      <c r="N327" s="343"/>
      <c r="O327" s="343"/>
      <c r="P327" s="343"/>
      <c r="Q327" s="343"/>
      <c r="R327" s="343"/>
      <c r="S327" s="343"/>
    </row>
    <row r="328" spans="1:19">
      <c r="A328" s="33" t="str">
        <f>"3"&amp;+$B326</f>
        <v>3青菜豆腐湯</v>
      </c>
      <c r="B328" s="351"/>
      <c r="C328" s="25" t="s">
        <v>215</v>
      </c>
      <c r="D328" s="51" t="s">
        <v>958</v>
      </c>
      <c r="E328" s="23"/>
      <c r="F328" s="37"/>
      <c r="G328" s="354"/>
      <c r="H328" s="92" t="str">
        <f t="shared" si="226"/>
        <v>紅蘿蔔</v>
      </c>
      <c r="I328" s="84">
        <f>IFERROR(IF(LEN(D328)=LENB(D328),ROUND(LEFT(D328,2*LEN(D328)-LENB(D328))/$A$1,3),((ROUND(LEFT(D328,2*LEN(D328)-LENB(D328))/$A$1,3))*VLOOKUP(H328,食材表!$A:$B,2,FALSE))),"")</f>
        <v>5.0000000000000001E-3</v>
      </c>
      <c r="J328" s="92">
        <f t="shared" si="227"/>
        <v>0</v>
      </c>
      <c r="K328" s="85" t="str">
        <f>IFERROR(IF(LEN(F328)=LENB(F328),ROUND(LEFT(F328,2*LEN(F328)-LENB(F328))/$A$1,3),((ROUND(LEFT(F328,2*LEN(F328)-LENB(F328))/$A$1,3))*VLOOKUP(J328,食材表!$A:$B,2,FALSE))),"")</f>
        <v/>
      </c>
      <c r="L328" s="344"/>
      <c r="M328" s="344"/>
      <c r="N328" s="344"/>
      <c r="O328" s="344"/>
      <c r="P328" s="344"/>
      <c r="Q328" s="344"/>
      <c r="R328" s="344"/>
      <c r="S328" s="344"/>
    </row>
    <row r="329" spans="1:19">
      <c r="A329" s="33" t="str">
        <f>"1"&amp;+$B329</f>
        <v>1海結黃芽排骨湯</v>
      </c>
      <c r="B329" s="394" t="s">
        <v>181</v>
      </c>
      <c r="C329" s="55" t="s">
        <v>182</v>
      </c>
      <c r="D329" s="56">
        <v>0.6</v>
      </c>
      <c r="E329" s="55" t="s">
        <v>183</v>
      </c>
      <c r="F329" s="33">
        <v>0.1</v>
      </c>
      <c r="G329" s="352" t="str">
        <f>B329</f>
        <v>海結黃芽排骨湯</v>
      </c>
      <c r="H329" s="91" t="str">
        <f>C329</f>
        <v>海帶結</v>
      </c>
      <c r="I329" s="83">
        <f>IFERROR(IF(LEN(D329)=LENB(D329),ROUND(LEFT(D329,2*LEN(D329)-LENB(D329))/$A$1,3),((ROUND(LEFT(D329,2*LEN(D329)-LENB(D329))/$A$1,3))*VLOOKUP(H329,食材表!$A:$B,2,FALSE))),"")</f>
        <v>1.2E-2</v>
      </c>
      <c r="J329" s="91" t="str">
        <f>E329</f>
        <v>薑絲</v>
      </c>
      <c r="K329" s="83">
        <f>IFERROR(IF(LEN(F329)=LENB(F329),ROUND(LEFT(F329,2*LEN(F329)-LENB(F329))/$A$1,3),((ROUND(LEFT(F329,2*LEN(F329)-LENB(F329))/$A$1,3))*VLOOKUP(J329,食材表!$A:$B,2,FALSE))),"")</f>
        <v>2E-3</v>
      </c>
      <c r="L329" s="342">
        <f>IFERROR($I329*VLOOKUP($H329,食材表!$A:C,3,FALSE),0)+IFERROR($I330*VLOOKUP($H330,食材表!$A:C,3,FALSE),0)+IFERROR($I331*VLOOKUP($H331,食材表!$A:C,3,FALSE),0)+IFERROR($K329*VLOOKUP($J329,食材表!$A:C,3,FALSE),0)+IFERROR($K330*VLOOKUP($J330,食材表!$A:C,3,FALSE),0)+IFERROR($K331*VLOOKUP($J331,食材表!$A:C,3,FALSE),0)</f>
        <v>0</v>
      </c>
      <c r="M329" s="342">
        <f>IFERROR($I329*VLOOKUP($H329,食材表!$A:D,4,FALSE),0)+IFERROR($I330*VLOOKUP($H330,食材表!$A:D,4,FALSE),0)+IFERROR($I331*VLOOKUP($H331,食材表!$A:D,4,FALSE),0)+IFERROR($K329*VLOOKUP($J329,食材表!$A:D,4,FALSE),0)+IFERROR($K330*VLOOKUP($J330,食材表!$A:D,4,FALSE),0)+IFERROR($K331*VLOOKUP($J331,食材表!$A:D,4,FALSE),0)</f>
        <v>1.0344827586206897</v>
      </c>
      <c r="N329" s="342">
        <f>IFERROR($I329*VLOOKUP($H329,食材表!$A:E,5,FALSE),0)+IFERROR($I330*VLOOKUP($H330,食材表!$A:E,5,FALSE),0)+IFERROR($I331*VLOOKUP($H331,食材表!$A:E,5,FALSE),0)+IFERROR($K329*VLOOKUP($J329,食材表!$A:E,5,FALSE),0)+IFERROR($K330*VLOOKUP($J330,食材表!$A:E,5,FALSE),0)+IFERROR($K331*VLOOKUP($J331,食材表!$A:E,5,FALSE),0)</f>
        <v>0</v>
      </c>
      <c r="O329" s="342">
        <f>IFERROR($I329*VLOOKUP($H329,食材表!$A:F,6,FALSE),0)+IFERROR($I330*VLOOKUP($H330,食材表!$A:F,6,FALSE),0)+IFERROR($I331*VLOOKUP($H331,食材表!$A:F,6,FALSE),0)+IFERROR($K329*VLOOKUP($J329,食材表!$A:F,6,FALSE),0)+IFERROR($K330*VLOOKUP($J330,食材表!$A:F,6,FALSE),0)+IFERROR($K331*VLOOKUP($J331,食材表!$A:F,6,FALSE),0)</f>
        <v>0.22</v>
      </c>
      <c r="P329" s="342">
        <f>IFERROR($I329*VLOOKUP($H329,食材表!$A:G,7,FALSE),0)+IFERROR($I330*VLOOKUP($H330,食材表!$A:G,7,FALSE),0)+IFERROR($I331*VLOOKUP($H331,食材表!$A:G,7,FALSE),0)+IFERROR($K329*VLOOKUP($J329,食材表!$A:G,7,FALSE),0)+IFERROR($K330*VLOOKUP($J330,食材表!$A:G,7,FALSE),0)+IFERROR($K331*VLOOKUP($J331,食材表!$A:G,7,FALSE),0)</f>
        <v>0</v>
      </c>
      <c r="Q329" s="342">
        <f>IFERROR($I329*VLOOKUP($H329,食材表!$A:H,8,FALSE),0)+IFERROR($I330*VLOOKUP($H330,食材表!$A:H,8,FALSE),0)+IFERROR($I331*VLOOKUP($H331,食材表!$A:H,8,FALSE),0)+IFERROR($K329*VLOOKUP($J329,食材表!$A:H,8,FALSE),0)+IFERROR($K330*VLOOKUP($J330,食材表!$A:H,8,FALSE),0)+IFERROR($K331*VLOOKUP($J331,食材表!$A:H,8,FALSE),0)</f>
        <v>0</v>
      </c>
      <c r="R329" s="342">
        <f>IFERROR($I329*VLOOKUP($H329,食材表!$A:I,9,FALSE),0)+IFERROR($I330*VLOOKUP($H330,食材表!$A:I,9,FALSE),0)+IFERROR($I331*VLOOKUP($H331,食材表!$A:I,9,FALSE),0)+IFERROR($K329*VLOOKUP($J329,食材表!$A:I,9,FALSE),0)+IFERROR($K330*VLOOKUP($J330,食材表!$A:I,9,FALSE),0)+IFERROR($K331*VLOOKUP($J331,食材表!$A:I,9,FALSE),0)</f>
        <v>0</v>
      </c>
      <c r="S329" s="342">
        <f>SUM(L329*70+M329*75+N329*120+O329*25+P329*60+Q329*45+R329*4)</f>
        <v>83.08620689655173</v>
      </c>
    </row>
    <row r="330" spans="1:19">
      <c r="A330" s="33" t="str">
        <f>"2"&amp;+$B329</f>
        <v>2海結黃芽排骨湯</v>
      </c>
      <c r="B330" s="356"/>
      <c r="C330" s="31" t="s">
        <v>105</v>
      </c>
      <c r="D330" s="33">
        <v>3</v>
      </c>
      <c r="E330" s="31"/>
      <c r="F330" s="33"/>
      <c r="G330" s="353"/>
      <c r="H330" s="93" t="str">
        <f t="shared" ref="H330:H331" si="228">C330</f>
        <v>小排丁</v>
      </c>
      <c r="I330" s="86">
        <f>IFERROR(IF(LEN(D330)=LENB(D330),ROUND(LEFT(D330,2*LEN(D330)-LENB(D330))/$A$1,3),((ROUND(LEFT(D330,2*LEN(D330)-LENB(D330))/$A$1,3))*VLOOKUP(H330,食材表!$A:$B,2,FALSE))),"")</f>
        <v>0.06</v>
      </c>
      <c r="J330" s="93">
        <f t="shared" ref="J330:J331" si="229">E330</f>
        <v>0</v>
      </c>
      <c r="K330" s="86" t="str">
        <f>IFERROR(IF(LEN(F330)=LENB(F330),ROUND(LEFT(F330,2*LEN(F330)-LENB(F330))/$A$1,3),((ROUND(LEFT(F330,2*LEN(F330)-LENB(F330))/$A$1,3))*VLOOKUP(J330,食材表!$A:$B,2,FALSE))),"")</f>
        <v/>
      </c>
      <c r="L330" s="343"/>
      <c r="M330" s="343"/>
      <c r="N330" s="343"/>
      <c r="O330" s="343"/>
      <c r="P330" s="343"/>
      <c r="Q330" s="343"/>
      <c r="R330" s="343"/>
      <c r="S330" s="343"/>
    </row>
    <row r="331" spans="1:19">
      <c r="A331" s="33" t="str">
        <f>"3"&amp;+$B329</f>
        <v>3海結黃芽排骨湯</v>
      </c>
      <c r="B331" s="357"/>
      <c r="C331" s="28" t="s">
        <v>184</v>
      </c>
      <c r="D331" s="8">
        <v>0.4</v>
      </c>
      <c r="E331" s="28"/>
      <c r="F331" s="8"/>
      <c r="G331" s="354"/>
      <c r="H331" s="92" t="str">
        <f t="shared" si="228"/>
        <v>黃豆芽</v>
      </c>
      <c r="I331" s="84">
        <f>IFERROR(IF(LEN(D331)=LENB(D331),ROUND(LEFT(D331,2*LEN(D331)-LENB(D331))/$A$1,3),((ROUND(LEFT(D331,2*LEN(D331)-LENB(D331))/$A$1,3))*VLOOKUP(H331,食材表!$A:$B,2,FALSE))),"")</f>
        <v>8.0000000000000002E-3</v>
      </c>
      <c r="J331" s="92">
        <f t="shared" si="229"/>
        <v>0</v>
      </c>
      <c r="K331" s="85" t="str">
        <f>IFERROR(IF(LEN(F331)=LENB(F331),ROUND(LEFT(F331,2*LEN(F331)-LENB(F331))/$A$1,3),((ROUND(LEFT(F331,2*LEN(F331)-LENB(F331))/$A$1,3))*VLOOKUP(J331,食材表!$A:$B,2,FALSE))),"")</f>
        <v/>
      </c>
      <c r="L331" s="344"/>
      <c r="M331" s="344"/>
      <c r="N331" s="344"/>
      <c r="O331" s="344"/>
      <c r="P331" s="344"/>
      <c r="Q331" s="344"/>
      <c r="R331" s="344"/>
      <c r="S331" s="344"/>
    </row>
    <row r="332" spans="1:19">
      <c r="A332" s="33" t="str">
        <f>"1"&amp;+$B332</f>
        <v>1大滷湯</v>
      </c>
      <c r="B332" s="391" t="s">
        <v>187</v>
      </c>
      <c r="C332" s="57" t="s">
        <v>188</v>
      </c>
      <c r="D332" s="56">
        <v>0.6</v>
      </c>
      <c r="E332" s="58" t="s">
        <v>48</v>
      </c>
      <c r="F332" s="56">
        <v>0.6</v>
      </c>
      <c r="G332" s="352" t="str">
        <f>B332</f>
        <v>大滷湯</v>
      </c>
      <c r="H332" s="91" t="str">
        <f>C332</f>
        <v>豬肉片</v>
      </c>
      <c r="I332" s="83">
        <f>IFERROR(IF(LEN(D332)=LENB(D332),ROUND(LEFT(D332,2*LEN(D332)-LENB(D332))/$A$1,3),((ROUND(LEFT(D332,2*LEN(D332)-LENB(D332))/$A$1,3))*VLOOKUP(H332,食材表!$A:$B,2,FALSE))),"")</f>
        <v>1.2E-2</v>
      </c>
      <c r="J332" s="91" t="str">
        <f>E332</f>
        <v>雞蛋</v>
      </c>
      <c r="K332" s="83">
        <f>IFERROR(IF(LEN(F332)=LENB(F332),ROUND(LEFT(F332,2*LEN(F332)-LENB(F332))/$A$1,3),((ROUND(LEFT(F332,2*LEN(F332)-LENB(F332))/$A$1,3))*VLOOKUP(J332,食材表!$A:$B,2,FALSE))),"")</f>
        <v>1.2E-2</v>
      </c>
      <c r="L332" s="342">
        <f>IFERROR($I332*VLOOKUP($H332,食材表!$A:C,3,FALSE),0)+IFERROR($I333*VLOOKUP($H333,食材表!$A:C,3,FALSE),0)+IFERROR($I334*VLOOKUP($H334,食材表!$A:C,3,FALSE),0)+IFERROR($K332*VLOOKUP($J332,食材表!$A:C,3,FALSE),0)+IFERROR($K333*VLOOKUP($J333,食材表!$A:C,3,FALSE),0)+IFERROR($K334*VLOOKUP($J334,食材表!$A:C,3,FALSE),0)</f>
        <v>0.6</v>
      </c>
      <c r="M332" s="342">
        <f>IFERROR($I332*VLOOKUP($H332,食材表!$A:D,4,FALSE),0)+IFERROR($I333*VLOOKUP($H333,食材表!$A:D,4,FALSE),0)+IFERROR($I334*VLOOKUP($H334,食材表!$A:D,4,FALSE),0)+IFERROR($K332*VLOOKUP($J332,食材表!$A:D,4,FALSE),0)+IFERROR($K333*VLOOKUP($J333,食材表!$A:D,4,FALSE),0)+IFERROR($K334*VLOOKUP($J334,食材表!$A:D,4,FALSE),0)</f>
        <v>0.52747252747252749</v>
      </c>
      <c r="N332" s="342">
        <f>IFERROR($I332*VLOOKUP($H332,食材表!$A:E,5,FALSE),0)+IFERROR($I333*VLOOKUP($H333,食材表!$A:E,5,FALSE),0)+IFERROR($I334*VLOOKUP($H334,食材表!$A:E,5,FALSE),0)+IFERROR($K332*VLOOKUP($J332,食材表!$A:E,5,FALSE),0)+IFERROR($K333*VLOOKUP($J333,食材表!$A:E,5,FALSE),0)+IFERROR($K334*VLOOKUP($J334,食材表!$A:E,5,FALSE),0)</f>
        <v>0</v>
      </c>
      <c r="O332" s="342">
        <f>IFERROR($I332*VLOOKUP($H332,食材表!$A:F,6,FALSE),0)+IFERROR($I333*VLOOKUP($H333,食材表!$A:F,6,FALSE),0)+IFERROR($I334*VLOOKUP($H334,食材表!$A:F,6,FALSE),0)+IFERROR($K332*VLOOKUP($J332,食材表!$A:F,6,FALSE),0)+IFERROR($K333*VLOOKUP($J333,食材表!$A:F,6,FALSE),0)+IFERROR($K334*VLOOKUP($J334,食材表!$A:F,6,FALSE),0)</f>
        <v>0.32</v>
      </c>
      <c r="P332" s="342">
        <f>IFERROR($I332*VLOOKUP($H332,食材表!$A:G,7,FALSE),0)+IFERROR($I333*VLOOKUP($H333,食材表!$A:G,7,FALSE),0)+IFERROR($I334*VLOOKUP($H334,食材表!$A:G,7,FALSE),0)+IFERROR($K332*VLOOKUP($J332,食材表!$A:G,7,FALSE),0)+IFERROR($K333*VLOOKUP($J333,食材表!$A:G,7,FALSE),0)+IFERROR($K334*VLOOKUP($J334,食材表!$A:G,7,FALSE),0)</f>
        <v>0</v>
      </c>
      <c r="Q332" s="342">
        <f>IFERROR($I332*VLOOKUP($H332,食材表!$A:H,8,FALSE),0)+IFERROR($I333*VLOOKUP($H333,食材表!$A:H,8,FALSE),0)+IFERROR($I334*VLOOKUP($H334,食材表!$A:H,8,FALSE),0)+IFERROR($K332*VLOOKUP($J332,食材表!$A:H,8,FALSE),0)+IFERROR($K333*VLOOKUP($J333,食材表!$A:H,8,FALSE),0)+IFERROR($K334*VLOOKUP($J334,食材表!$A:H,8,FALSE),0)</f>
        <v>0</v>
      </c>
      <c r="R332" s="342">
        <f>IFERROR($I332*VLOOKUP($H332,食材表!$A:I,9,FALSE),0)+IFERROR($I333*VLOOKUP($H333,食材表!$A:I,9,FALSE),0)+IFERROR($I334*VLOOKUP($H334,食材表!$A:I,9,FALSE),0)+IFERROR($K332*VLOOKUP($J332,食材表!$A:I,9,FALSE),0)+IFERROR($K333*VLOOKUP($J333,食材表!$A:I,9,FALSE),0)+IFERROR($K334*VLOOKUP($J334,食材表!$A:I,9,FALSE),0)</f>
        <v>0</v>
      </c>
      <c r="S332" s="342">
        <f>SUM(L332*70+M332*75+N332*120+O332*25+P332*60+Q332*45+R332*4)</f>
        <v>89.560439560439562</v>
      </c>
    </row>
    <row r="333" spans="1:19">
      <c r="A333" s="33" t="str">
        <f>"2"&amp;+$B332</f>
        <v>2大滷湯</v>
      </c>
      <c r="B333" s="392"/>
      <c r="C333" s="50" t="s">
        <v>189</v>
      </c>
      <c r="D333" s="40">
        <v>1</v>
      </c>
      <c r="E333" s="27" t="s">
        <v>83</v>
      </c>
      <c r="F333" s="33">
        <v>0.3</v>
      </c>
      <c r="G333" s="353"/>
      <c r="H333" s="93" t="str">
        <f t="shared" ref="H333:H334" si="230">C333</f>
        <v>包心白菜</v>
      </c>
      <c r="I333" s="86">
        <f>IFERROR(IF(LEN(D333)=LENB(D333),ROUND(LEFT(D333,2*LEN(D333)-LENB(D333))/$A$1,3),((ROUND(LEFT(D333,2*LEN(D333)-LENB(D333))/$A$1,3))*VLOOKUP(H333,食材表!$A:$B,2,FALSE))),"")</f>
        <v>0.02</v>
      </c>
      <c r="J333" s="93" t="str">
        <f t="shared" ref="J333:J334" si="231">E333</f>
        <v>木耳</v>
      </c>
      <c r="K333" s="86">
        <f>IFERROR(IF(LEN(F333)=LENB(F333),ROUND(LEFT(F333,2*LEN(F333)-LENB(F333))/$A$1,3),((ROUND(LEFT(F333,2*LEN(F333)-LENB(F333))/$A$1,3))*VLOOKUP(J333,食材表!$A:$B,2,FALSE))),"")</f>
        <v>6.0000000000000001E-3</v>
      </c>
      <c r="L333" s="343"/>
      <c r="M333" s="343"/>
      <c r="N333" s="343"/>
      <c r="O333" s="343"/>
      <c r="P333" s="343"/>
      <c r="Q333" s="343"/>
      <c r="R333" s="343"/>
      <c r="S333" s="343"/>
    </row>
    <row r="334" spans="1:19">
      <c r="A334" s="33" t="str">
        <f>"3"&amp;+$B332</f>
        <v>3大滷湯</v>
      </c>
      <c r="B334" s="393"/>
      <c r="C334" s="28" t="s">
        <v>160</v>
      </c>
      <c r="D334" s="8">
        <v>0.3</v>
      </c>
      <c r="E334" s="29" t="s">
        <v>85</v>
      </c>
      <c r="F334" s="8">
        <v>0.6</v>
      </c>
      <c r="G334" s="354"/>
      <c r="H334" s="92" t="str">
        <f t="shared" si="230"/>
        <v>胡蘿蔔</v>
      </c>
      <c r="I334" s="84">
        <f>IFERROR(IF(LEN(D334)=LENB(D334),ROUND(LEFT(D334,2*LEN(D334)-LENB(D334))/$A$1,3),((ROUND(LEFT(D334,2*LEN(D334)-LENB(D334))/$A$1,3))*VLOOKUP(H334,食材表!$A:$B,2,FALSE))),"")</f>
        <v>6.0000000000000001E-3</v>
      </c>
      <c r="J334" s="92" t="str">
        <f t="shared" si="231"/>
        <v>太白粉</v>
      </c>
      <c r="K334" s="85">
        <f>IFERROR(IF(LEN(F334)=LENB(F334),ROUND(LEFT(F334,2*LEN(F334)-LENB(F334))/$A$1,3),((ROUND(LEFT(F334,2*LEN(F334)-LENB(F334))/$A$1,3))*VLOOKUP(J334,食材表!$A:$B,2,FALSE))),"")</f>
        <v>1.2E-2</v>
      </c>
      <c r="L334" s="344"/>
      <c r="M334" s="344"/>
      <c r="N334" s="344"/>
      <c r="O334" s="344"/>
      <c r="P334" s="344"/>
      <c r="Q334" s="344"/>
      <c r="R334" s="344"/>
      <c r="S334" s="344"/>
    </row>
    <row r="335" spans="1:19">
      <c r="A335" s="33" t="str">
        <f>"1"&amp;+$B335</f>
        <v>1蘿蔔糕湯</v>
      </c>
      <c r="B335" s="349" t="s">
        <v>72</v>
      </c>
      <c r="C335" s="60" t="s">
        <v>120</v>
      </c>
      <c r="D335" s="59" t="s">
        <v>1020</v>
      </c>
      <c r="E335" s="75" t="s">
        <v>116</v>
      </c>
      <c r="F335" s="59">
        <v>0.5</v>
      </c>
      <c r="G335" s="352" t="str">
        <f>B335</f>
        <v>蘿蔔糕湯</v>
      </c>
      <c r="H335" s="91" t="str">
        <f>C335</f>
        <v>蘿蔔糕</v>
      </c>
      <c r="I335" s="83" t="str">
        <f>IFERROR(IF(LEN(D335)=LENB(D335),ROUND(LEFT(D335,2*LEN(D335)-LENB(D335))/$A$1,3),((ROUND(LEFT(D335,2*LEN(D335)-LENB(D335))/$A$1,3))*VLOOKUP(H335,食材表!$A:$B,2,FALSE))),"")</f>
        <v/>
      </c>
      <c r="J335" s="91" t="str">
        <f>E335</f>
        <v>豆芽菜</v>
      </c>
      <c r="K335" s="83">
        <f>IFERROR(IF(LEN(F335)=LENB(F335),ROUND(LEFT(F335,2*LEN(F335)-LENB(F335))/$A$1,3),((ROUND(LEFT(F335,2*LEN(F335)-LENB(F335))/$A$1,3))*VLOOKUP(J335,食材表!$A:$B,2,FALSE))),"")</f>
        <v>0.01</v>
      </c>
      <c r="L335" s="342">
        <f>IFERROR($I335*VLOOKUP($H335,食材表!$A:C,3,FALSE),0)+IFERROR($I336*VLOOKUP($H336,食材表!$A:C,3,FALSE),0)+IFERROR($I337*VLOOKUP($H337,食材表!$A:C,3,FALSE),0)+IFERROR($K335*VLOOKUP($J335,食材表!$A:C,3,FALSE),0)+IFERROR($K336*VLOOKUP($J336,食材表!$A:C,3,FALSE),0)+IFERROR($K337*VLOOKUP($J337,食材表!$A:C,3,FALSE),0)</f>
        <v>0</v>
      </c>
      <c r="M335" s="342">
        <f>IFERROR($I335*VLOOKUP($H335,食材表!$A:D,4,FALSE),0)+IFERROR($I336*VLOOKUP($H336,食材表!$A:D,4,FALSE),0)+IFERROR($I337*VLOOKUP($H337,食材表!$A:D,4,FALSE),0)+IFERROR($K335*VLOOKUP($J335,食材表!$A:D,4,FALSE),0)+IFERROR($K336*VLOOKUP($J336,食材表!$A:D,4,FALSE),0)+IFERROR($K337*VLOOKUP($J337,食材表!$A:D,4,FALSE),0)</f>
        <v>0.34285714285714286</v>
      </c>
      <c r="N335" s="342">
        <f>IFERROR($I335*VLOOKUP($H335,食材表!$A:E,5,FALSE),0)+IFERROR($I336*VLOOKUP($H336,食材表!$A:E,5,FALSE),0)+IFERROR($I337*VLOOKUP($H337,食材表!$A:E,5,FALSE),0)+IFERROR($K335*VLOOKUP($J335,食材表!$A:E,5,FALSE),0)+IFERROR($K336*VLOOKUP($J336,食材表!$A:E,5,FALSE),0)+IFERROR($K337*VLOOKUP($J337,食材表!$A:E,5,FALSE),0)</f>
        <v>0</v>
      </c>
      <c r="O335" s="342">
        <f>IFERROR($I335*VLOOKUP($H335,食材表!$A:F,6,FALSE),0)+IFERROR($I336*VLOOKUP($H336,食材表!$A:F,6,FALSE),0)+IFERROR($I337*VLOOKUP($H337,食材表!$A:F,6,FALSE),0)+IFERROR($K335*VLOOKUP($J335,食材表!$A:F,6,FALSE),0)+IFERROR($K336*VLOOKUP($J336,食材表!$A:F,6,FALSE),0)+IFERROR($K337*VLOOKUP($J337,食材表!$A:F,6,FALSE),0)</f>
        <v>0.2</v>
      </c>
      <c r="P335" s="342">
        <f>IFERROR($I335*VLOOKUP($H335,食材表!$A:G,7,FALSE),0)+IFERROR($I336*VLOOKUP($H336,食材表!$A:G,7,FALSE),0)+IFERROR($I337*VLOOKUP($H337,食材表!$A:G,7,FALSE),0)+IFERROR($K335*VLOOKUP($J335,食材表!$A:G,7,FALSE),0)+IFERROR($K336*VLOOKUP($J336,食材表!$A:G,7,FALSE),0)+IFERROR($K337*VLOOKUP($J337,食材表!$A:G,7,FALSE),0)</f>
        <v>0</v>
      </c>
      <c r="Q335" s="342">
        <f>IFERROR($I335*VLOOKUP($H335,食材表!$A:H,8,FALSE),0)+IFERROR($I336*VLOOKUP($H336,食材表!$A:H,8,FALSE),0)+IFERROR($I337*VLOOKUP($H337,食材表!$A:H,8,FALSE),0)+IFERROR($K335*VLOOKUP($J335,食材表!$A:H,8,FALSE),0)+IFERROR($K336*VLOOKUP($J336,食材表!$A:H,8,FALSE),0)+IFERROR($K337*VLOOKUP($J337,食材表!$A:H,8,FALSE),0)</f>
        <v>0</v>
      </c>
      <c r="R335" s="342">
        <f>IFERROR($I335*VLOOKUP($H335,食材表!$A:I,9,FALSE),0)+IFERROR($I336*VLOOKUP($H336,食材表!$A:I,9,FALSE),0)+IFERROR($I337*VLOOKUP($H337,食材表!$A:I,9,FALSE),0)+IFERROR($K335*VLOOKUP($J335,食材表!$A:I,9,FALSE),0)+IFERROR($K336*VLOOKUP($J336,食材表!$A:I,9,FALSE),0)+IFERROR($K337*VLOOKUP($J337,食材表!$A:I,9,FALSE),0)</f>
        <v>0</v>
      </c>
      <c r="S335" s="342">
        <f>SUM(L335*70+M335*75+N335*120+O335*25+P335*60+Q335*45+R335*4)</f>
        <v>30.714285714285715</v>
      </c>
    </row>
    <row r="336" spans="1:19">
      <c r="A336" s="33" t="str">
        <f>"2"&amp;+$B335</f>
        <v>2蘿蔔糕湯</v>
      </c>
      <c r="B336" s="383"/>
      <c r="C336" s="22" t="s">
        <v>138</v>
      </c>
      <c r="D336" s="36">
        <v>0.6</v>
      </c>
      <c r="E336" s="23" t="s">
        <v>121</v>
      </c>
      <c r="F336" s="36">
        <v>0.3</v>
      </c>
      <c r="G336" s="353"/>
      <c r="H336" s="93" t="str">
        <f t="shared" ref="H336:H337" si="232">C336</f>
        <v>豬絞肉</v>
      </c>
      <c r="I336" s="86">
        <f>IFERROR(IF(LEN(D336)=LENB(D336),ROUND(LEFT(D336,2*LEN(D336)-LENB(D336))/$A$1,3),((ROUND(LEFT(D336,2*LEN(D336)-LENB(D336))/$A$1,3))*VLOOKUP(H336,食材表!$A:$B,2,FALSE))),"")</f>
        <v>1.2E-2</v>
      </c>
      <c r="J336" s="93" t="str">
        <f t="shared" ref="J336:J337" si="233">E336</f>
        <v>紅蘿蔔</v>
      </c>
      <c r="K336" s="86">
        <f>IFERROR(IF(LEN(F336)=LENB(F336),ROUND(LEFT(F336,2*LEN(F336)-LENB(F336))/$A$1,3),((ROUND(LEFT(F336,2*LEN(F336)-LENB(F336))/$A$1,3))*VLOOKUP(J336,食材表!$A:$B,2,FALSE))),"")</f>
        <v>6.0000000000000001E-3</v>
      </c>
      <c r="L336" s="343"/>
      <c r="M336" s="343"/>
      <c r="N336" s="343"/>
      <c r="O336" s="343"/>
      <c r="P336" s="343"/>
      <c r="Q336" s="343"/>
      <c r="R336" s="343"/>
      <c r="S336" s="343"/>
    </row>
    <row r="337" spans="1:19">
      <c r="A337" s="33" t="str">
        <f>"3"&amp;+$B335</f>
        <v>3蘿蔔糕湯</v>
      </c>
      <c r="B337" s="351"/>
      <c r="C337" s="24" t="s">
        <v>122</v>
      </c>
      <c r="D337" s="37">
        <v>0.1</v>
      </c>
      <c r="E337" s="25" t="s">
        <v>67</v>
      </c>
      <c r="F337" s="37">
        <v>0.2</v>
      </c>
      <c r="G337" s="354"/>
      <c r="H337" s="92" t="str">
        <f t="shared" si="232"/>
        <v>蝦米</v>
      </c>
      <c r="I337" s="84">
        <f>IFERROR(IF(LEN(D337)=LENB(D337),ROUND(LEFT(D337,2*LEN(D337)-LENB(D337))/$A$1,3),((ROUND(LEFT(D337,2*LEN(D337)-LENB(D337))/$A$1,3))*VLOOKUP(H337,食材表!$A:$B,2,FALSE))),"")</f>
        <v>2E-3</v>
      </c>
      <c r="J337" s="92" t="str">
        <f t="shared" si="233"/>
        <v>芹菜</v>
      </c>
      <c r="K337" s="85">
        <f>IFERROR(IF(LEN(F337)=LENB(F337),ROUND(LEFT(F337,2*LEN(F337)-LENB(F337))/$A$1,3),((ROUND(LEFT(F337,2*LEN(F337)-LENB(F337))/$A$1,3))*VLOOKUP(J337,食材表!$A:$B,2,FALSE))),"")</f>
        <v>4.0000000000000001E-3</v>
      </c>
      <c r="L337" s="344"/>
      <c r="M337" s="344"/>
      <c r="N337" s="344"/>
      <c r="O337" s="344"/>
      <c r="P337" s="344"/>
      <c r="Q337" s="344"/>
      <c r="R337" s="344"/>
      <c r="S337" s="344"/>
    </row>
    <row r="338" spans="1:19">
      <c r="A338" s="33" t="str">
        <f>"1"&amp;+$B338</f>
        <v>1味噌魚片湯</v>
      </c>
      <c r="B338" s="349" t="s">
        <v>1015</v>
      </c>
      <c r="C338" s="60" t="s">
        <v>1016</v>
      </c>
      <c r="D338" s="59">
        <v>0.8</v>
      </c>
      <c r="E338" s="60"/>
      <c r="F338" s="36"/>
      <c r="G338" s="352" t="str">
        <f>B338</f>
        <v>味噌魚片湯</v>
      </c>
      <c r="H338" s="91" t="str">
        <f>C338</f>
        <v>鯛魚片</v>
      </c>
      <c r="I338" s="83">
        <f>IFERROR(IF(LEN(D338)=LENB(D338),ROUND(LEFT(D338,2*LEN(D338)-LENB(D338))/$A$1,3),((ROUND(LEFT(D338,2*LEN(D338)-LENB(D338))/$A$1,3))*VLOOKUP(H338,食材表!$A:$B,2,FALSE))),"")</f>
        <v>1.6E-2</v>
      </c>
      <c r="J338" s="91">
        <f>E338</f>
        <v>0</v>
      </c>
      <c r="K338" s="83" t="str">
        <f>IFERROR(IF(LEN(F338)=LENB(F338),ROUND(LEFT(F338,2*LEN(F338)-LENB(F338))/$A$1,3),((ROUND(LEFT(F338,2*LEN(F338)-LENB(F338))/$A$1,3))*VLOOKUP(J338,食材表!$A:$B,2,FALSE))),"")</f>
        <v/>
      </c>
      <c r="L338" s="342">
        <f>IFERROR($I338*VLOOKUP($H338,食材表!$A:C,3,FALSE),0)+IFERROR($I339*VLOOKUP($H339,食材表!$A:C,3,FALSE),0)+IFERROR($I340*VLOOKUP($H340,食材表!$A:C,3,FALSE),0)+IFERROR($K338*VLOOKUP($J338,食材表!$A:C,3,FALSE),0)+IFERROR($K339*VLOOKUP($J339,食材表!$A:C,3,FALSE),0)+IFERROR($K340*VLOOKUP($J340,食材表!$A:C,3,FALSE),0)</f>
        <v>0</v>
      </c>
      <c r="M338" s="342">
        <f>IFERROR($I338*VLOOKUP($H338,食材表!$A:D,4,FALSE),0)+IFERROR($I339*VLOOKUP($H339,食材表!$A:D,4,FALSE),0)+IFERROR($I340*VLOOKUP($H340,食材表!$A:D,4,FALSE),0)+IFERROR($K338*VLOOKUP($J338,食材表!$A:D,4,FALSE),0)+IFERROR($K339*VLOOKUP($J339,食材表!$A:D,4,FALSE),0)+IFERROR($K340*VLOOKUP($J340,食材表!$A:D,4,FALSE),0)</f>
        <v>0</v>
      </c>
      <c r="N338" s="342">
        <f>IFERROR($I338*VLOOKUP($H338,食材表!$A:E,5,FALSE),0)+IFERROR($I339*VLOOKUP($H339,食材表!$A:E,5,FALSE),0)+IFERROR($I340*VLOOKUP($H340,食材表!$A:E,5,FALSE),0)+IFERROR($K338*VLOOKUP($J338,食材表!$A:E,5,FALSE),0)+IFERROR($K339*VLOOKUP($J339,食材表!$A:E,5,FALSE),0)+IFERROR($K340*VLOOKUP($J340,食材表!$A:E,5,FALSE),0)</f>
        <v>0</v>
      </c>
      <c r="O338" s="342">
        <f>IFERROR($I338*VLOOKUP($H338,食材表!$A:F,6,FALSE),0)+IFERROR($I339*VLOOKUP($H339,食材表!$A:F,6,FALSE),0)+IFERROR($I340*VLOOKUP($H340,食材表!$A:F,6,FALSE),0)+IFERROR($K338*VLOOKUP($J338,食材表!$A:F,6,FALSE),0)+IFERROR($K339*VLOOKUP($J339,食材表!$A:F,6,FALSE),0)+IFERROR($K340*VLOOKUP($J340,食材表!$A:F,6,FALSE),0)</f>
        <v>0.2</v>
      </c>
      <c r="P338" s="342">
        <f>IFERROR($I338*VLOOKUP($H338,食材表!$A:G,7,FALSE),0)+IFERROR($I339*VLOOKUP($H339,食材表!$A:G,7,FALSE),0)+IFERROR($I340*VLOOKUP($H340,食材表!$A:G,7,FALSE),0)+IFERROR($K338*VLOOKUP($J338,食材表!$A:G,7,FALSE),0)+IFERROR($K339*VLOOKUP($J339,食材表!$A:G,7,FALSE),0)+IFERROR($K340*VLOOKUP($J340,食材表!$A:G,7,FALSE),0)</f>
        <v>0</v>
      </c>
      <c r="Q338" s="342">
        <f>IFERROR($I338*VLOOKUP($H338,食材表!$A:H,8,FALSE),0)+IFERROR($I339*VLOOKUP($H339,食材表!$A:H,8,FALSE),0)+IFERROR($I340*VLOOKUP($H340,食材表!$A:H,8,FALSE),0)+IFERROR($K338*VLOOKUP($J338,食材表!$A:H,8,FALSE),0)+IFERROR($K339*VLOOKUP($J339,食材表!$A:H,8,FALSE),0)+IFERROR($K340*VLOOKUP($J340,食材表!$A:H,8,FALSE),0)</f>
        <v>0</v>
      </c>
      <c r="R338" s="342">
        <f>IFERROR($I338*VLOOKUP($H338,食材表!$A:I,9,FALSE),0)+IFERROR($I339*VLOOKUP($H339,食材表!$A:I,9,FALSE),0)+IFERROR($I340*VLOOKUP($H340,食材表!$A:I,9,FALSE),0)+IFERROR($K338*VLOOKUP($J338,食材表!$A:I,9,FALSE),0)+IFERROR($K339*VLOOKUP($J339,食材表!$A:I,9,FALSE),0)+IFERROR($K340*VLOOKUP($J340,食材表!$A:I,9,FALSE),0)</f>
        <v>0</v>
      </c>
      <c r="S338" s="342">
        <f>SUM(L338*70+M338*75+N338*120+O338*25+P338*60+Q338*45+R338*4)</f>
        <v>5</v>
      </c>
    </row>
    <row r="339" spans="1:19">
      <c r="A339" s="33" t="str">
        <f>"2"&amp;+$B338</f>
        <v>2味噌魚片湯</v>
      </c>
      <c r="B339" s="350"/>
      <c r="C339" s="22" t="s">
        <v>99</v>
      </c>
      <c r="D339" s="36" t="s">
        <v>1017</v>
      </c>
      <c r="E339" s="22"/>
      <c r="F339" s="36"/>
      <c r="G339" s="353"/>
      <c r="H339" s="93" t="str">
        <f t="shared" ref="H339:H340" si="234">C339</f>
        <v>味噌</v>
      </c>
      <c r="I339" s="86">
        <f>IFERROR(IF(LEN(D339)=LENB(D339),ROUND(LEFT(D339,2*LEN(D339)-LENB(D339))/$A$1,3),((ROUND(LEFT(D339,2*LEN(D339)-LENB(D339))/$A$1,3))*VLOOKUP(H339,食材表!$A:$B,2,FALSE))),"")</f>
        <v>8.4000000000000012E-3</v>
      </c>
      <c r="J339" s="93">
        <f t="shared" ref="J339:J340" si="235">E339</f>
        <v>0</v>
      </c>
      <c r="K339" s="86" t="str">
        <f>IFERROR(IF(LEN(F339)=LENB(F339),ROUND(LEFT(F339,2*LEN(F339)-LENB(F339))/$A$1,3),((ROUND(LEFT(F339,2*LEN(F339)-LENB(F339))/$A$1,3))*VLOOKUP(J339,食材表!$A:$B,2,FALSE))),"")</f>
        <v/>
      </c>
      <c r="L339" s="343"/>
      <c r="M339" s="343"/>
      <c r="N339" s="343"/>
      <c r="O339" s="343"/>
      <c r="P339" s="343"/>
      <c r="Q339" s="343"/>
      <c r="R339" s="343"/>
      <c r="S339" s="343"/>
    </row>
    <row r="340" spans="1:19">
      <c r="A340" s="33" t="str">
        <f>"3"&amp;+$B338</f>
        <v>3味噌魚片湯</v>
      </c>
      <c r="B340" s="351"/>
      <c r="C340" s="26" t="s">
        <v>417</v>
      </c>
      <c r="D340" s="37">
        <v>0.1</v>
      </c>
      <c r="E340" s="26"/>
      <c r="F340" s="37"/>
      <c r="G340" s="354"/>
      <c r="H340" s="92" t="str">
        <f t="shared" si="234"/>
        <v>海帶芽</v>
      </c>
      <c r="I340" s="84">
        <f>IFERROR(IF(LEN(D340)=LENB(D340),ROUND(LEFT(D340,2*LEN(D340)-LENB(D340))/$A$1,3),((ROUND(LEFT(D340,2*LEN(D340)-LENB(D340))/$A$1,3))*VLOOKUP(H340,食材表!$A:$B,2,FALSE))),"")</f>
        <v>2E-3</v>
      </c>
      <c r="J340" s="92">
        <f t="shared" si="235"/>
        <v>0</v>
      </c>
      <c r="K340" s="85" t="str">
        <f>IFERROR(IF(LEN(F340)=LENB(F340),ROUND(LEFT(F340,2*LEN(F340)-LENB(F340))/$A$1,3),((ROUND(LEFT(F340,2*LEN(F340)-LENB(F340))/$A$1,3))*VLOOKUP(J340,食材表!$A:$B,2,FALSE))),"")</f>
        <v/>
      </c>
      <c r="L340" s="344"/>
      <c r="M340" s="344"/>
      <c r="N340" s="344"/>
      <c r="O340" s="344"/>
      <c r="P340" s="344"/>
      <c r="Q340" s="344"/>
      <c r="R340" s="344"/>
      <c r="S340" s="344"/>
    </row>
    <row r="341" spans="1:19">
      <c r="A341" s="33" t="str">
        <f>"1"&amp;+$B341</f>
        <v>1結頭菜雞湯</v>
      </c>
      <c r="B341" s="349" t="s">
        <v>275</v>
      </c>
      <c r="C341" s="60" t="s">
        <v>361</v>
      </c>
      <c r="D341" s="59">
        <v>2.5</v>
      </c>
      <c r="E341" s="60"/>
      <c r="F341" s="36"/>
      <c r="G341" s="352" t="str">
        <f>B341</f>
        <v>結頭菜雞湯</v>
      </c>
      <c r="H341" s="91" t="str">
        <f>C341</f>
        <v>大黃瓜</v>
      </c>
      <c r="I341" s="83">
        <f>IFERROR(IF(LEN(D341)=LENB(D341),ROUND(LEFT(D341,2*LEN(D341)-LENB(D341))/$A$1,3),((ROUND(LEFT(D341,2*LEN(D341)-LENB(D341))/$A$1,3))*VLOOKUP(H341,食材表!$A:$B,2,FALSE))),"")</f>
        <v>0.05</v>
      </c>
      <c r="J341" s="91">
        <f>E341</f>
        <v>0</v>
      </c>
      <c r="K341" s="83" t="str">
        <f>IFERROR(IF(LEN(F341)=LENB(F341),ROUND(LEFT(F341,2*LEN(F341)-LENB(F341))/$A$1,3),((ROUND(LEFT(F341,2*LEN(F341)-LENB(F341))/$A$1,3))*VLOOKUP(J341,食材表!$A:$B,2,FALSE))),"")</f>
        <v/>
      </c>
      <c r="L341" s="342">
        <f>IFERROR($I341*VLOOKUP($H341,食材表!$A:C,3,FALSE),0)+IFERROR($I342*VLOOKUP($H342,食材表!$A:C,3,FALSE),0)+IFERROR($I343*VLOOKUP($H343,食材表!$A:C,3,FALSE),0)+IFERROR($K341*VLOOKUP($J341,食材表!$A:C,3,FALSE),0)+IFERROR($K342*VLOOKUP($J342,食材表!$A:C,3,FALSE),0)+IFERROR($K343*VLOOKUP($J343,食材表!$A:C,3,FALSE),0)</f>
        <v>0</v>
      </c>
      <c r="M341" s="342">
        <f>IFERROR($I341*VLOOKUP($H341,食材表!$A:D,4,FALSE),0)+IFERROR($I342*VLOOKUP($H342,食材表!$A:D,4,FALSE),0)+IFERROR($I343*VLOOKUP($H343,食材表!$A:D,4,FALSE),0)+IFERROR($K341*VLOOKUP($J341,食材表!$A:D,4,FALSE),0)+IFERROR($K342*VLOOKUP($J342,食材表!$A:D,4,FALSE),0)+IFERROR($K343*VLOOKUP($J343,食材表!$A:D,4,FALSE),0)</f>
        <v>1</v>
      </c>
      <c r="N341" s="342">
        <f>IFERROR($I341*VLOOKUP($H341,食材表!$A:E,5,FALSE),0)+IFERROR($I342*VLOOKUP($H342,食材表!$A:E,5,FALSE),0)+IFERROR($I343*VLOOKUP($H343,食材表!$A:E,5,FALSE),0)+IFERROR($K341*VLOOKUP($J341,食材表!$A:E,5,FALSE),0)+IFERROR($K342*VLOOKUP($J342,食材表!$A:E,5,FALSE),0)+IFERROR($K343*VLOOKUP($J343,食材表!$A:E,5,FALSE),0)</f>
        <v>0</v>
      </c>
      <c r="O341" s="342">
        <f>IFERROR($I341*VLOOKUP($H341,食材表!$A:F,6,FALSE),0)+IFERROR($I342*VLOOKUP($H342,食材表!$A:F,6,FALSE),0)+IFERROR($I343*VLOOKUP($H343,食材表!$A:F,6,FALSE),0)+IFERROR($K341*VLOOKUP($J341,食材表!$A:F,6,FALSE),0)+IFERROR($K342*VLOOKUP($J342,食材表!$A:F,6,FALSE),0)+IFERROR($K343*VLOOKUP($J343,食材表!$A:F,6,FALSE),0)</f>
        <v>0.52</v>
      </c>
      <c r="P341" s="342">
        <f>IFERROR($I341*VLOOKUP($H341,食材表!$A:G,7,FALSE),0)+IFERROR($I342*VLOOKUP($H342,食材表!$A:G,7,FALSE),0)+IFERROR($I343*VLOOKUP($H343,食材表!$A:G,7,FALSE),0)+IFERROR($K341*VLOOKUP($J341,食材表!$A:G,7,FALSE),0)+IFERROR($K342*VLOOKUP($J342,食材表!$A:G,7,FALSE),0)+IFERROR($K343*VLOOKUP($J343,食材表!$A:G,7,FALSE),0)</f>
        <v>0</v>
      </c>
      <c r="Q341" s="342">
        <f>IFERROR($I341*VLOOKUP($H341,食材表!$A:H,8,FALSE),0)+IFERROR($I342*VLOOKUP($H342,食材表!$A:H,8,FALSE),0)+IFERROR($I343*VLOOKUP($H343,食材表!$A:H,8,FALSE),0)+IFERROR($K341*VLOOKUP($J341,食材表!$A:H,8,FALSE),0)+IFERROR($K342*VLOOKUP($J342,食材表!$A:H,8,FALSE),0)+IFERROR($K343*VLOOKUP($J343,食材表!$A:H,8,FALSE),0)</f>
        <v>0</v>
      </c>
      <c r="R341" s="342">
        <f>IFERROR($I341*VLOOKUP($H341,食材表!$A:I,9,FALSE),0)+IFERROR($I342*VLOOKUP($H342,食材表!$A:I,9,FALSE),0)+IFERROR($I343*VLOOKUP($H343,食材表!$A:I,9,FALSE),0)+IFERROR($K341*VLOOKUP($J341,食材表!$A:I,9,FALSE),0)+IFERROR($K342*VLOOKUP($J342,食材表!$A:I,9,FALSE),0)+IFERROR($K343*VLOOKUP($J343,食材表!$A:I,9,FALSE),0)</f>
        <v>0</v>
      </c>
      <c r="S341" s="342">
        <f>SUM(L341*70+M341*75+N341*120+O341*25+P341*60+Q341*45+R341*4)</f>
        <v>88</v>
      </c>
    </row>
    <row r="342" spans="1:19">
      <c r="A342" s="33" t="str">
        <f>"2"&amp;+$B341</f>
        <v>2結頭菜雞湯</v>
      </c>
      <c r="B342" s="350"/>
      <c r="C342" s="22" t="s">
        <v>204</v>
      </c>
      <c r="D342" s="36">
        <v>2</v>
      </c>
      <c r="E342" s="22"/>
      <c r="F342" s="36"/>
      <c r="G342" s="353"/>
      <c r="H342" s="93" t="str">
        <f t="shared" ref="H342:H343" si="236">C342</f>
        <v>雞腿仁丁</v>
      </c>
      <c r="I342" s="86">
        <f>IFERROR(IF(LEN(D342)=LENB(D342),ROUND(LEFT(D342,2*LEN(D342)-LENB(D342))/$A$1,3),((ROUND(LEFT(D342,2*LEN(D342)-LENB(D342))/$A$1,3))*VLOOKUP(H342,食材表!$A:$B,2,FALSE))),"")</f>
        <v>0.04</v>
      </c>
      <c r="J342" s="93">
        <f t="shared" ref="J342:J343" si="237">E342</f>
        <v>0</v>
      </c>
      <c r="K342" s="86" t="str">
        <f>IFERROR(IF(LEN(F342)=LENB(F342),ROUND(LEFT(F342,2*LEN(F342)-LENB(F342))/$A$1,3),((ROUND(LEFT(F342,2*LEN(F342)-LENB(F342))/$A$1,3))*VLOOKUP(J342,食材表!$A:$B,2,FALSE))),"")</f>
        <v/>
      </c>
      <c r="L342" s="343"/>
      <c r="M342" s="343"/>
      <c r="N342" s="343"/>
      <c r="O342" s="343"/>
      <c r="P342" s="343"/>
      <c r="Q342" s="343"/>
      <c r="R342" s="343"/>
      <c r="S342" s="343"/>
    </row>
    <row r="343" spans="1:19">
      <c r="A343" s="33" t="str">
        <f>"3"&amp;+$B341</f>
        <v>3結頭菜雞湯</v>
      </c>
      <c r="B343" s="351"/>
      <c r="C343" s="26" t="s">
        <v>276</v>
      </c>
      <c r="D343" s="37">
        <v>0.1</v>
      </c>
      <c r="E343" s="26"/>
      <c r="F343" s="37"/>
      <c r="G343" s="354"/>
      <c r="H343" s="92" t="str">
        <f t="shared" si="236"/>
        <v>嫩薑絲</v>
      </c>
      <c r="I343" s="84">
        <f>IFERROR(IF(LEN(D343)=LENB(D343),ROUND(LEFT(D343,2*LEN(D343)-LENB(D343))/$A$1,3),((ROUND(LEFT(D343,2*LEN(D343)-LENB(D343))/$A$1,3))*VLOOKUP(H343,食材表!$A:$B,2,FALSE))),"")</f>
        <v>2E-3</v>
      </c>
      <c r="J343" s="92">
        <f t="shared" si="237"/>
        <v>0</v>
      </c>
      <c r="K343" s="85" t="str">
        <f>IFERROR(IF(LEN(F343)=LENB(F343),ROUND(LEFT(F343,2*LEN(F343)-LENB(F343))/$A$1,3),((ROUND(LEFT(F343,2*LEN(F343)-LENB(F343))/$A$1,3))*VLOOKUP(J343,食材表!$A:$B,2,FALSE))),"")</f>
        <v/>
      </c>
      <c r="L343" s="344"/>
      <c r="M343" s="344"/>
      <c r="N343" s="344"/>
      <c r="O343" s="344"/>
      <c r="P343" s="344"/>
      <c r="Q343" s="344"/>
      <c r="R343" s="344"/>
      <c r="S343" s="344"/>
    </row>
    <row r="344" spans="1:19">
      <c r="A344" s="33" t="str">
        <f>"1"&amp;+$B344</f>
        <v>1香菇豆薯湯</v>
      </c>
      <c r="B344" s="349" t="s">
        <v>1066</v>
      </c>
      <c r="C344" s="60" t="s">
        <v>52</v>
      </c>
      <c r="D344" s="78">
        <v>0.8</v>
      </c>
      <c r="E344" s="60"/>
      <c r="F344" s="36"/>
      <c r="G344" s="352" t="str">
        <f>B344</f>
        <v>香菇豆薯湯</v>
      </c>
      <c r="H344" s="91" t="str">
        <f>C344</f>
        <v>生香菇</v>
      </c>
      <c r="I344" s="83">
        <f>IFERROR(IF(LEN(D344)=LENB(D344),ROUND(LEFT(D344,2*LEN(D344)-LENB(D344))/$A$1,3),((ROUND(LEFT(D344,2*LEN(D344)-LENB(D344))/$A$1,3))*VLOOKUP(H344,食材表!$A:$B,2,FALSE))),"")</f>
        <v>1.6E-2</v>
      </c>
      <c r="J344" s="91">
        <f>E344</f>
        <v>0</v>
      </c>
      <c r="K344" s="83" t="str">
        <f>IFERROR(IF(LEN(F344)=LENB(F344),ROUND(LEFT(F344,2*LEN(F344)-LENB(F344))/$A$1,3),((ROUND(LEFT(F344,2*LEN(F344)-LENB(F344))/$A$1,3))*VLOOKUP(J344,食材表!$A:$B,2,FALSE))),"")</f>
        <v/>
      </c>
      <c r="L344" s="342">
        <f>IFERROR($I344*VLOOKUP($H344,食材表!$A:C,3,FALSE),0)+IFERROR($I345*VLOOKUP($H345,食材表!$A:C,3,FALSE),0)+IFERROR($I346*VLOOKUP($H346,食材表!$A:C,3,FALSE),0)+IFERROR($K344*VLOOKUP($J344,食材表!$A:C,3,FALSE),0)+IFERROR($K345*VLOOKUP($J345,食材表!$A:C,3,FALSE),0)+IFERROR($K346*VLOOKUP($J346,食材表!$A:C,3,FALSE),0)</f>
        <v>0</v>
      </c>
      <c r="M344" s="342">
        <f>IFERROR($I344*VLOOKUP($H344,食材表!$A:D,4,FALSE),0)+IFERROR($I345*VLOOKUP($H345,食材表!$A:D,4,FALSE),0)+IFERROR($I346*VLOOKUP($H346,食材表!$A:D,4,FALSE),0)+IFERROR($K344*VLOOKUP($J344,食材表!$A:D,4,FALSE),0)+IFERROR($K345*VLOOKUP($J345,食材表!$A:D,4,FALSE),0)+IFERROR($K346*VLOOKUP($J346,食材表!$A:D,4,FALSE),0)</f>
        <v>0.34285714285714286</v>
      </c>
      <c r="N344" s="342">
        <f>IFERROR($I344*VLOOKUP($H344,食材表!$A:E,5,FALSE),0)+IFERROR($I345*VLOOKUP($H345,食材表!$A:E,5,FALSE),0)+IFERROR($I346*VLOOKUP($H346,食材表!$A:E,5,FALSE),0)+IFERROR($K344*VLOOKUP($J344,食材表!$A:E,5,FALSE),0)+IFERROR($K345*VLOOKUP($J345,食材表!$A:E,5,FALSE),0)+IFERROR($K346*VLOOKUP($J346,食材表!$A:E,5,FALSE),0)</f>
        <v>0</v>
      </c>
      <c r="O344" s="342">
        <f>IFERROR($I344*VLOOKUP($H344,食材表!$A:F,6,FALSE),0)+IFERROR($I345*VLOOKUP($H345,食材表!$A:F,6,FALSE),0)+IFERROR($I346*VLOOKUP($H346,食材表!$A:F,6,FALSE),0)+IFERROR($K344*VLOOKUP($J344,食材表!$A:F,6,FALSE),0)+IFERROR($K345*VLOOKUP($J345,食材表!$A:F,6,FALSE),0)+IFERROR($K346*VLOOKUP($J346,食材表!$A:F,6,FALSE),0)</f>
        <v>0.16</v>
      </c>
      <c r="P344" s="342">
        <f>IFERROR($I344*VLOOKUP($H344,食材表!$A:G,7,FALSE),0)+IFERROR($I345*VLOOKUP($H345,食材表!$A:G,7,FALSE),0)+IFERROR($I346*VLOOKUP($H346,食材表!$A:G,7,FALSE),0)+IFERROR($K344*VLOOKUP($J344,食材表!$A:G,7,FALSE),0)+IFERROR($K345*VLOOKUP($J345,食材表!$A:G,7,FALSE),0)+IFERROR($K346*VLOOKUP($J346,食材表!$A:G,7,FALSE),0)</f>
        <v>0</v>
      </c>
      <c r="Q344" s="342">
        <f>IFERROR($I344*VLOOKUP($H344,食材表!$A:H,8,FALSE),0)+IFERROR($I345*VLOOKUP($H345,食材表!$A:H,8,FALSE),0)+IFERROR($I346*VLOOKUP($H346,食材表!$A:H,8,FALSE),0)+IFERROR($K344*VLOOKUP($J344,食材表!$A:H,8,FALSE),0)+IFERROR($K345*VLOOKUP($J345,食材表!$A:H,8,FALSE),0)+IFERROR($K346*VLOOKUP($J346,食材表!$A:H,8,FALSE),0)</f>
        <v>0</v>
      </c>
      <c r="R344" s="342">
        <f>IFERROR($I344*VLOOKUP($H344,食材表!$A:I,9,FALSE),0)+IFERROR($I345*VLOOKUP($H345,食材表!$A:I,9,FALSE),0)+IFERROR($I346*VLOOKUP($H346,食材表!$A:I,9,FALSE),0)+IFERROR($K344*VLOOKUP($J344,食材表!$A:I,9,FALSE),0)+IFERROR($K345*VLOOKUP($J345,食材表!$A:I,9,FALSE),0)+IFERROR($K346*VLOOKUP($J346,食材表!$A:I,9,FALSE),0)</f>
        <v>0</v>
      </c>
      <c r="S344" s="342">
        <f>SUM(L344*70+M344*75+N344*120+O344*25+P344*60+Q344*45+R344*4)</f>
        <v>29.714285714285715</v>
      </c>
    </row>
    <row r="345" spans="1:19">
      <c r="A345" s="33" t="str">
        <f>"2"&amp;+$B344</f>
        <v>2香菇豆薯湯</v>
      </c>
      <c r="B345" s="350"/>
      <c r="C345" s="22" t="s">
        <v>929</v>
      </c>
      <c r="D345" s="79">
        <v>2</v>
      </c>
      <c r="E345" s="22"/>
      <c r="F345" s="36"/>
      <c r="G345" s="353"/>
      <c r="H345" s="93" t="str">
        <f t="shared" ref="H345:H346" si="238">C345</f>
        <v>豆薯</v>
      </c>
      <c r="I345" s="86">
        <f>IFERROR(IF(LEN(D345)=LENB(D345),ROUND(LEFT(D345,2*LEN(D345)-LENB(D345))/$A$1,3),((ROUND(LEFT(D345,2*LEN(D345)-LENB(D345))/$A$1,3))*VLOOKUP(H345,食材表!$A:$B,2,FALSE))),"")</f>
        <v>0.04</v>
      </c>
      <c r="J345" s="93">
        <f t="shared" ref="J345:J346" si="239">E345</f>
        <v>0</v>
      </c>
      <c r="K345" s="86" t="str">
        <f>IFERROR(IF(LEN(F345)=LENB(F345),ROUND(LEFT(F345,2*LEN(F345)-LENB(F345))/$A$1,3),((ROUND(LEFT(F345,2*LEN(F345)-LENB(F345))/$A$1,3))*VLOOKUP(J345,食材表!$A:$B,2,FALSE))),"")</f>
        <v/>
      </c>
      <c r="L345" s="343"/>
      <c r="M345" s="343"/>
      <c r="N345" s="343"/>
      <c r="O345" s="343"/>
      <c r="P345" s="343"/>
      <c r="Q345" s="343"/>
      <c r="R345" s="343"/>
      <c r="S345" s="343"/>
    </row>
    <row r="346" spans="1:19">
      <c r="A346" s="33" t="str">
        <f>"3"&amp;+$B344</f>
        <v>3香菇豆薯湯</v>
      </c>
      <c r="B346" s="351"/>
      <c r="C346" s="26" t="s">
        <v>274</v>
      </c>
      <c r="D346" s="37">
        <v>0.6</v>
      </c>
      <c r="E346" s="26"/>
      <c r="F346" s="37"/>
      <c r="G346" s="354"/>
      <c r="H346" s="92" t="str">
        <f t="shared" si="238"/>
        <v>肉絲</v>
      </c>
      <c r="I346" s="84">
        <f>IFERROR(IF(LEN(D346)=LENB(D346),ROUND(LEFT(D346,2*LEN(D346)-LENB(D346))/$A$1,3),((ROUND(LEFT(D346,2*LEN(D346)-LENB(D346))/$A$1,3))*VLOOKUP(H346,食材表!$A:$B,2,FALSE))),"")</f>
        <v>1.2E-2</v>
      </c>
      <c r="J346" s="92">
        <f t="shared" si="239"/>
        <v>0</v>
      </c>
      <c r="K346" s="85" t="str">
        <f>IFERROR(IF(LEN(F346)=LENB(F346),ROUND(LEFT(F346,2*LEN(F346)-LENB(F346))/$A$1,3),((ROUND(LEFT(F346,2*LEN(F346)-LENB(F346))/$A$1,3))*VLOOKUP(J346,食材表!$A:$B,2,FALSE))),"")</f>
        <v/>
      </c>
      <c r="L346" s="344"/>
      <c r="M346" s="344"/>
      <c r="N346" s="344"/>
      <c r="O346" s="344"/>
      <c r="P346" s="344"/>
      <c r="Q346" s="344"/>
      <c r="R346" s="344"/>
      <c r="S346" s="344"/>
    </row>
    <row r="347" spans="1:19">
      <c r="A347" s="33" t="str">
        <f>"1"&amp;+$B347</f>
        <v>1蘑菇鐵板麵</v>
      </c>
      <c r="B347" s="371" t="s">
        <v>944</v>
      </c>
      <c r="C347" s="57" t="s">
        <v>249</v>
      </c>
      <c r="D347" s="82">
        <v>4.2</v>
      </c>
      <c r="E347" s="58" t="s">
        <v>258</v>
      </c>
      <c r="F347" s="56" t="s">
        <v>945</v>
      </c>
      <c r="G347" s="346" t="str">
        <f>B347</f>
        <v>蘑菇鐵板麵</v>
      </c>
      <c r="H347" s="91" t="str">
        <f>C347</f>
        <v>細烏龍麵</v>
      </c>
      <c r="I347" s="83">
        <f>IFERROR(IF(LEN(D347)=LENB(D347),ROUND(LEFT(D347,2*LEN(D347)-LENB(D347))/$A$1,3),((ROUND(LEFT(D347,2*LEN(D347)-LENB(D347))/$A$1,3))*VLOOKUP(H347,食材表!$A:$B,2,FALSE))),"")</f>
        <v>8.4000000000000005E-2</v>
      </c>
      <c r="J347" s="91" t="str">
        <f>E347</f>
        <v>玉米粒</v>
      </c>
      <c r="K347" s="83">
        <f>IFERROR(IF(LEN(F347)=LENB(F347),ROUND(LEFT(F347,2*LEN(F347)-LENB(F347))/$A$1,3),((ROUND(LEFT(F347,2*LEN(F347)-LENB(F347))/$A$1,3))*VLOOKUP(J347,食材表!$A:$B,2,FALSE))),"")</f>
        <v>1.3600000000000001E-2</v>
      </c>
      <c r="L347" s="342">
        <f>IFERROR($I347*VLOOKUP($H347,食材表!$A:C,3,FALSE),0)+IFERROR($I348*VLOOKUP($H348,食材表!$A:C,3,FALSE),0)+IFERROR($I349*VLOOKUP($H349,食材表!$A:C,3,FALSE),0)+IFERROR($K347*VLOOKUP($J347,食材表!$A:C,3,FALSE),0)+IFERROR($K348*VLOOKUP($J348,食材表!$A:C,3,FALSE),0)+IFERROR($K349*VLOOKUP($J349,食材表!$A:C,3,FALSE),0)</f>
        <v>1.56</v>
      </c>
      <c r="M347" s="342">
        <f>IFERROR($I347*VLOOKUP($H347,食材表!$A:D,4,FALSE),0)+IFERROR($I348*VLOOKUP($H348,食材表!$A:D,4,FALSE),0)+IFERROR($I349*VLOOKUP($H349,食材表!$A:D,4,FALSE),0)+IFERROR($K347*VLOOKUP($J347,食材表!$A:D,4,FALSE),0)+IFERROR($K348*VLOOKUP($J348,食材表!$A:D,4,FALSE),0)+IFERROR($K349*VLOOKUP($J349,食材表!$A:D,4,FALSE),0)</f>
        <v>0</v>
      </c>
      <c r="N347" s="342">
        <f>IFERROR($I347*VLOOKUP($H347,食材表!$A:E,5,FALSE),0)+IFERROR($I348*VLOOKUP($H348,食材表!$A:E,5,FALSE),0)+IFERROR($I349*VLOOKUP($H349,食材表!$A:E,5,FALSE),0)+IFERROR($K347*VLOOKUP($J347,食材表!$A:E,5,FALSE),0)+IFERROR($K348*VLOOKUP($J348,食材表!$A:E,5,FALSE),0)+IFERROR($K349*VLOOKUP($J349,食材表!$A:E,5,FALSE),0)</f>
        <v>0</v>
      </c>
      <c r="O347" s="342">
        <f>IFERROR($I347*VLOOKUP($H347,食材表!$A:F,6,FALSE),0)+IFERROR($I348*VLOOKUP($H348,食材表!$A:F,6,FALSE),0)+IFERROR($I349*VLOOKUP($H349,食材表!$A:F,6,FALSE),0)+IFERROR($K347*VLOOKUP($J347,食材表!$A:F,6,FALSE),0)+IFERROR($K348*VLOOKUP($J348,食材表!$A:F,6,FALSE),0)+IFERROR($K349*VLOOKUP($J349,食材表!$A:F,6,FALSE),0)</f>
        <v>0.16</v>
      </c>
      <c r="P347" s="342">
        <f>IFERROR($I347*VLOOKUP($H347,食材表!$A:G,7,FALSE),0)+IFERROR($I348*VLOOKUP($H348,食材表!$A:G,7,FALSE),0)+IFERROR($I349*VLOOKUP($H349,食材表!$A:G,7,FALSE),0)+IFERROR($K347*VLOOKUP($J347,食材表!$A:G,7,FALSE),0)+IFERROR($K348*VLOOKUP($J348,食材表!$A:G,7,FALSE),0)+IFERROR($K349*VLOOKUP($J349,食材表!$A:G,7,FALSE),0)</f>
        <v>0</v>
      </c>
      <c r="Q347" s="342">
        <f>IFERROR($I347*VLOOKUP($H347,食材表!$A:H,8,FALSE),0)+IFERROR($I348*VLOOKUP($H348,食材表!$A:H,8,FALSE),0)+IFERROR($I349*VLOOKUP($H349,食材表!$A:H,8,FALSE),0)+IFERROR($K347*VLOOKUP($J347,食材表!$A:H,8,FALSE),0)+IFERROR($K348*VLOOKUP($J348,食材表!$A:H,8,FALSE),0)+IFERROR($K349*VLOOKUP($J349,食材表!$A:H,8,FALSE),0)</f>
        <v>0</v>
      </c>
      <c r="R347" s="342">
        <f>IFERROR($I347*VLOOKUP($H347,食材表!$A:I,9,FALSE),0)+IFERROR($I348*VLOOKUP($H348,食材表!$A:I,9,FALSE),0)+IFERROR($I349*VLOOKUP($H349,食材表!$A:I,9,FALSE),0)+IFERROR($K347*VLOOKUP($J347,食材表!$A:I,9,FALSE),0)+IFERROR($K348*VLOOKUP($J348,食材表!$A:I,9,FALSE),0)+IFERROR($K349*VLOOKUP($J349,食材表!$A:I,9,FALSE),0)</f>
        <v>0</v>
      </c>
      <c r="S347" s="342">
        <f>SUM(L347*70+M347*75+N347*120+O347*25+P347*60+Q347*45+R347*4)</f>
        <v>113.2</v>
      </c>
    </row>
    <row r="348" spans="1:19">
      <c r="A348" s="33" t="str">
        <f>"2"&amp;+$B347</f>
        <v>2蘑菇鐵板麵</v>
      </c>
      <c r="B348" s="372"/>
      <c r="C348" s="50" t="s">
        <v>441</v>
      </c>
      <c r="D348" s="40" t="s">
        <v>946</v>
      </c>
      <c r="E348" s="27" t="s">
        <v>60</v>
      </c>
      <c r="F348" s="33">
        <v>0.2</v>
      </c>
      <c r="G348" s="347"/>
      <c r="H348" s="93" t="str">
        <f t="shared" ref="H348:H349" si="240">C348</f>
        <v>蘑菇醬</v>
      </c>
      <c r="I348" s="86">
        <f>IFERROR(IF(LEN(D348)=LENB(D348),ROUND(LEFT(D348,2*LEN(D348)-LENB(D348))/$A$1,3),((ROUND(LEFT(D348,2*LEN(D348)-LENB(D348))/$A$1,3))*VLOOKUP(H348,食材表!$A:$B,2,FALSE))),"")</f>
        <v>5.6000000000000008E-2</v>
      </c>
      <c r="J348" s="93" t="str">
        <f t="shared" ref="J348:J349" si="241">E348</f>
        <v>胡蘿蔔</v>
      </c>
      <c r="K348" s="86">
        <f>IFERROR(IF(LEN(F348)=LENB(F348),ROUND(LEFT(F348,2*LEN(F348)-LENB(F348))/$A$1,3),((ROUND(LEFT(F348,2*LEN(F348)-LENB(F348))/$A$1,3))*VLOOKUP(J348,食材表!$A:$B,2,FALSE))),"")</f>
        <v>4.0000000000000001E-3</v>
      </c>
      <c r="L348" s="343"/>
      <c r="M348" s="343"/>
      <c r="N348" s="343"/>
      <c r="O348" s="343"/>
      <c r="P348" s="343"/>
      <c r="Q348" s="343"/>
      <c r="R348" s="343"/>
      <c r="S348" s="343"/>
    </row>
    <row r="349" spans="1:19">
      <c r="A349" s="33" t="str">
        <f>"3"&amp;+$B347</f>
        <v>3蘑菇鐵板麵</v>
      </c>
      <c r="B349" s="373"/>
      <c r="C349" s="28" t="s">
        <v>113</v>
      </c>
      <c r="D349" s="8">
        <v>0.6</v>
      </c>
      <c r="E349" s="29" t="s">
        <v>947</v>
      </c>
      <c r="F349" s="8">
        <v>0.6</v>
      </c>
      <c r="G349" s="348"/>
      <c r="H349" s="92" t="str">
        <f t="shared" si="240"/>
        <v>小白菜</v>
      </c>
      <c r="I349" s="84">
        <f>IFERROR(IF(LEN(D349)=LENB(D349),ROUND(LEFT(D349,2*LEN(D349)-LENB(D349))/$A$1,3),((ROUND(LEFT(D349,2*LEN(D349)-LENB(D349))/$A$1,3))*VLOOKUP(H349,食材表!$A:$B,2,FALSE))),"")</f>
        <v>1.2E-2</v>
      </c>
      <c r="J349" s="92" t="str">
        <f t="shared" si="241"/>
        <v>絞肉</v>
      </c>
      <c r="K349" s="85">
        <f>IFERROR(IF(LEN(F349)=LENB(F349),ROUND(LEFT(F349,2*LEN(F349)-LENB(F349))/$A$1,3),((ROUND(LEFT(F349,2*LEN(F349)-LENB(F349))/$A$1,3))*VLOOKUP(J349,食材表!$A:$B,2,FALSE))),"")</f>
        <v>1.2E-2</v>
      </c>
      <c r="L349" s="344"/>
      <c r="M349" s="344"/>
      <c r="N349" s="344"/>
      <c r="O349" s="344"/>
      <c r="P349" s="344"/>
      <c r="Q349" s="344"/>
      <c r="R349" s="344"/>
      <c r="S349" s="344"/>
    </row>
    <row r="350" spans="1:19">
      <c r="A350" s="33" t="str">
        <f>"1"&amp;+$B350</f>
        <v>1枸杞雞湯麵線</v>
      </c>
      <c r="B350" s="362" t="s">
        <v>1204</v>
      </c>
      <c r="C350" s="55" t="s">
        <v>931</v>
      </c>
      <c r="D350" s="56">
        <v>2</v>
      </c>
      <c r="E350" s="55" t="s">
        <v>207</v>
      </c>
      <c r="F350" s="33">
        <v>0.1</v>
      </c>
      <c r="G350" s="365" t="str">
        <f>B350</f>
        <v>枸杞雞湯麵線</v>
      </c>
      <c r="H350" s="91" t="str">
        <f>C350</f>
        <v>白麵線</v>
      </c>
      <c r="I350" s="83">
        <f>IFERROR(IF(LEN(D350)=LENB(D350),ROUND(LEFT(D350,2*LEN(D350)-LENB(D350))/$A$1,3),((ROUND(LEFT(D350,2*LEN(D350)-LENB(D350))/$A$1,3))*VLOOKUP(H350,食材表!$A:$B,2,FALSE))),"")</f>
        <v>0.04</v>
      </c>
      <c r="J350" s="91" t="str">
        <f>E350</f>
        <v>薑片</v>
      </c>
      <c r="K350" s="83">
        <f>IFERROR(IF(LEN(F350)=LENB(F350),ROUND(LEFT(F350,2*LEN(F350)-LENB(F350))/$A$1,3),((ROUND(LEFT(F350,2*LEN(F350)-LENB(F350))/$A$1,3))*VLOOKUP(J350,食材表!$A:$B,2,FALSE))),"")</f>
        <v>2E-3</v>
      </c>
      <c r="L350" s="345">
        <f>IFERROR($I350*VLOOKUP($H350,食材表!$A:C,3,FALSE),0)+IFERROR($I351*VLOOKUP($H351,食材表!$A:C,3,FALSE),0)+IFERROR($I352*VLOOKUP($H352,食材表!$A:C,3,FALSE),0)+IFERROR($K350*VLOOKUP($J350,食材表!$A:C,3,FALSE),0)+IFERROR($K351*VLOOKUP($J351,食材表!$A:C,3,FALSE),0)+IFERROR($K352*VLOOKUP($J352,食材表!$A:C,3,FALSE),0)</f>
        <v>0</v>
      </c>
      <c r="M350" s="345">
        <f>IFERROR($I350*VLOOKUP($H350,食材表!$A:D,4,FALSE),0)+IFERROR($I351*VLOOKUP($H351,食材表!$A:D,4,FALSE),0)+IFERROR($I352*VLOOKUP($H352,食材表!$A:D,4,FALSE),0)+IFERROR($K350*VLOOKUP($J350,食材表!$A:D,4,FALSE),0)+IFERROR($K351*VLOOKUP($J351,食材表!$A:D,4,FALSE),0)+IFERROR($K352*VLOOKUP($J352,食材表!$A:D,4,FALSE),0)</f>
        <v>0</v>
      </c>
      <c r="N350" s="345">
        <f>IFERROR($I350*VLOOKUP($H350,食材表!$A:E,5,FALSE),0)+IFERROR($I351*VLOOKUP($H351,食材表!$A:E,5,FALSE),0)+IFERROR($I352*VLOOKUP($H352,食材表!$A:E,5,FALSE),0)+IFERROR($K350*VLOOKUP($J350,食材表!$A:E,5,FALSE),0)+IFERROR($K351*VLOOKUP($J351,食材表!$A:E,5,FALSE),0)+IFERROR($K352*VLOOKUP($J352,食材表!$A:E,5,FALSE),0)</f>
        <v>0</v>
      </c>
      <c r="O350" s="345">
        <f>IFERROR($I350*VLOOKUP($H350,食材表!$A:F,6,FALSE),0)+IFERROR($I351*VLOOKUP($H351,食材表!$A:F,6,FALSE),0)+IFERROR($I352*VLOOKUP($H352,食材表!$A:F,6,FALSE),0)+IFERROR($K350*VLOOKUP($J350,食材表!$A:F,6,FALSE),0)+IFERROR($K351*VLOOKUP($J351,食材表!$A:F,6,FALSE),0)+IFERROR($K352*VLOOKUP($J352,食材表!$A:F,6,FALSE),0)</f>
        <v>0.02</v>
      </c>
      <c r="P350" s="345">
        <f>IFERROR($I350*VLOOKUP($H350,食材表!$A:G,7,FALSE),0)+IFERROR($I351*VLOOKUP($H351,食材表!$A:G,7,FALSE),0)+IFERROR($I352*VLOOKUP($H352,食材表!$A:G,7,FALSE),0)+IFERROR($K350*VLOOKUP($J350,食材表!$A:G,7,FALSE),0)+IFERROR($K351*VLOOKUP($J351,食材表!$A:G,7,FALSE),0)+IFERROR($K352*VLOOKUP($J352,食材表!$A:G,7,FALSE),0)</f>
        <v>0</v>
      </c>
      <c r="Q350" s="345">
        <f>IFERROR($I350*VLOOKUP($H350,食材表!$A:H,8,FALSE),0)+IFERROR($I351*VLOOKUP($H351,食材表!$A:H,8,FALSE),0)+IFERROR($I352*VLOOKUP($H352,食材表!$A:H,8,FALSE),0)+IFERROR($K350*VLOOKUP($J350,食材表!$A:H,8,FALSE),0)+IFERROR($K351*VLOOKUP($J351,食材表!$A:H,8,FALSE),0)+IFERROR($K352*VLOOKUP($J352,食材表!$A:H,8,FALSE),0)</f>
        <v>0</v>
      </c>
      <c r="R350" s="345">
        <f>IFERROR($I350*VLOOKUP($H350,食材表!$A:I,9,FALSE),0)+IFERROR($I351*VLOOKUP($H351,食材表!$A:I,9,FALSE),0)+IFERROR($I352*VLOOKUP($H352,食材表!$A:I,9,FALSE),0)+IFERROR($K350*VLOOKUP($J350,食材表!$A:I,9,FALSE),0)+IFERROR($K351*VLOOKUP($J351,食材表!$A:I,9,FALSE),0)+IFERROR($K352*VLOOKUP($J352,食材表!$A:I,9,FALSE),0)</f>
        <v>0</v>
      </c>
      <c r="S350" s="345">
        <f>SUM(L350*70+M350*75+N350*120+O350*25+P350*60+Q350*45+R350*4)</f>
        <v>0.5</v>
      </c>
    </row>
    <row r="351" spans="1:19">
      <c r="A351" s="33" t="str">
        <f>"2"&amp;+$B350</f>
        <v>2枸杞雞湯麵線</v>
      </c>
      <c r="B351" s="363"/>
      <c r="C351" s="31" t="s">
        <v>204</v>
      </c>
      <c r="D351" s="33">
        <v>2</v>
      </c>
      <c r="E351" s="31" t="s">
        <v>1214</v>
      </c>
      <c r="F351" s="33">
        <v>0.3</v>
      </c>
      <c r="G351" s="366"/>
      <c r="H351" s="93" t="str">
        <f t="shared" ref="H351:H352" si="242">C351</f>
        <v>雞腿仁丁</v>
      </c>
      <c r="I351" s="86">
        <f>(2*IFERROR(MID(D351,FIND("2L*",D351)+3,1),0)+1*IFERROR(MID(D351,FIND("1L*",D351)+3,2),0))/$A$1</f>
        <v>0</v>
      </c>
      <c r="J351" s="93" t="str">
        <f t="shared" ref="J351:J352" si="243">E351</f>
        <v>脆筍片</v>
      </c>
      <c r="K351" s="86">
        <f>IFERROR(IF(LEN(F351)=LENB(F351),ROUND(LEFT(F351,2*LEN(F351)-LENB(F351))/$A$1,3),((ROUND(LEFT(F351,2*LEN(F351)-LENB(F351))/$A$1,3))*VLOOKUP(J351,食材表!$A:$B,2,FALSE))),"")</f>
        <v>6.0000000000000001E-3</v>
      </c>
      <c r="L351" s="345"/>
      <c r="M351" s="345"/>
      <c r="N351" s="345"/>
      <c r="O351" s="345"/>
      <c r="P351" s="345"/>
      <c r="Q351" s="345"/>
      <c r="R351" s="345"/>
      <c r="S351" s="345"/>
    </row>
    <row r="352" spans="1:19">
      <c r="A352" s="33" t="str">
        <f>"3"&amp;+$B350</f>
        <v>3枸杞雞湯麵線</v>
      </c>
      <c r="B352" s="364"/>
      <c r="C352" s="28" t="s">
        <v>124</v>
      </c>
      <c r="D352" s="36">
        <v>0.1</v>
      </c>
      <c r="E352" s="28"/>
      <c r="F352" s="8"/>
      <c r="G352" s="367"/>
      <c r="H352" s="92" t="str">
        <f t="shared" si="242"/>
        <v>枸杞</v>
      </c>
      <c r="I352" s="84">
        <f>IFERROR(IF(LEN(D352)=LENB(D352),ROUND(LEFT(D352,2*LEN(D352)-LENB(D352))/$A$1,3),((ROUND(LEFT(D352,2*LEN(D352)-LENB(D352))/$A$1,3))*VLOOKUP(H352,食材表!$A:$B,2,FALSE))),"")</f>
        <v>2E-3</v>
      </c>
      <c r="J352" s="92">
        <f t="shared" si="243"/>
        <v>0</v>
      </c>
      <c r="K352" s="85" t="str">
        <f>IFERROR(IF(LEN(F352)=LENB(F352),ROUND(LEFT(F352,2*LEN(F352)-LENB(F352))/$A$1,3),((ROUND(LEFT(F352,2*LEN(F352)-LENB(F352))/$A$1,3))*VLOOKUP(J352,食材表!$A:$B,2,FALSE))),"")</f>
        <v/>
      </c>
      <c r="L352" s="345"/>
      <c r="M352" s="345"/>
      <c r="N352" s="345"/>
      <c r="O352" s="345"/>
      <c r="P352" s="345"/>
      <c r="Q352" s="345"/>
      <c r="R352" s="345"/>
      <c r="S352" s="345"/>
    </row>
    <row r="353" spans="1:19">
      <c r="A353" s="33" t="str">
        <f>"1"&amp;+$B353</f>
        <v>1香菇雞湯麵線</v>
      </c>
      <c r="B353" s="362" t="s">
        <v>930</v>
      </c>
      <c r="C353" s="55" t="s">
        <v>931</v>
      </c>
      <c r="D353" s="56">
        <v>2</v>
      </c>
      <c r="E353" s="55" t="s">
        <v>207</v>
      </c>
      <c r="F353" s="33">
        <v>0.1</v>
      </c>
      <c r="G353" s="365" t="str">
        <f>B353</f>
        <v>香菇雞湯麵線</v>
      </c>
      <c r="H353" s="91" t="str">
        <f>C353</f>
        <v>白麵線</v>
      </c>
      <c r="I353" s="83">
        <f>IFERROR(IF(LEN(D353)=LENB(D353),ROUND(LEFT(D353,2*LEN(D353)-LENB(D353))/$A$1,3),((ROUND(LEFT(D353,2*LEN(D353)-LENB(D353))/$A$1,3))*VLOOKUP(H353,食材表!$A:$B,2,FALSE))),"")</f>
        <v>0.04</v>
      </c>
      <c r="J353" s="91" t="str">
        <f>E353</f>
        <v>薑片</v>
      </c>
      <c r="K353" s="83">
        <f>IFERROR(IF(LEN(F353)=LENB(F353),ROUND(LEFT(F353,2*LEN(F353)-LENB(F353))/$A$1,3),((ROUND(LEFT(F353,2*LEN(F353)-LENB(F353))/$A$1,3))*VLOOKUP(J353,食材表!$A:$B,2,FALSE))),"")</f>
        <v>2E-3</v>
      </c>
      <c r="L353" s="345">
        <f>IFERROR($I353*VLOOKUP($H353,食材表!$A:C,3,FALSE),0)+IFERROR($I354*VLOOKUP($H354,食材表!$A:C,3,FALSE),0)+IFERROR($I355*VLOOKUP($H355,食材表!$A:C,3,FALSE),0)+IFERROR($K353*VLOOKUP($J353,食材表!$A:C,3,FALSE),0)+IFERROR($K354*VLOOKUP($J354,食材表!$A:C,3,FALSE),0)+IFERROR($K355*VLOOKUP($J355,食材表!$A:C,3,FALSE),0)</f>
        <v>0</v>
      </c>
      <c r="M353" s="345">
        <f>IFERROR($I353*VLOOKUP($H353,食材表!$A:D,4,FALSE),0)+IFERROR($I354*VLOOKUP($H354,食材表!$A:D,4,FALSE),0)+IFERROR($I355*VLOOKUP($H355,食材表!$A:D,4,FALSE),0)+IFERROR($K353*VLOOKUP($J353,食材表!$A:D,4,FALSE),0)+IFERROR($K354*VLOOKUP($J354,食材表!$A:D,4,FALSE),0)+IFERROR($K355*VLOOKUP($J355,食材表!$A:D,4,FALSE),0)</f>
        <v>0</v>
      </c>
      <c r="N353" s="345">
        <f>IFERROR($I353*VLOOKUP($H353,食材表!$A:E,5,FALSE),0)+IFERROR($I354*VLOOKUP($H354,食材表!$A:E,5,FALSE),0)+IFERROR($I355*VLOOKUP($H355,食材表!$A:E,5,FALSE),0)+IFERROR($K353*VLOOKUP($J353,食材表!$A:E,5,FALSE),0)+IFERROR($K354*VLOOKUP($J354,食材表!$A:E,5,FALSE),0)+IFERROR($K355*VLOOKUP($J355,食材表!$A:E,5,FALSE),0)</f>
        <v>0</v>
      </c>
      <c r="O353" s="345">
        <f>IFERROR($I353*VLOOKUP($H353,食材表!$A:F,6,FALSE),0)+IFERROR($I354*VLOOKUP($H354,食材表!$A:F,6,FALSE),0)+IFERROR($I355*VLOOKUP($H355,食材表!$A:F,6,FALSE),0)+IFERROR($K353*VLOOKUP($J353,食材表!$A:F,6,FALSE),0)+IFERROR($K354*VLOOKUP($J354,食材表!$A:F,6,FALSE),0)+IFERROR($K355*VLOOKUP($J355,食材表!$A:F,6,FALSE),0)</f>
        <v>0.08</v>
      </c>
      <c r="P353" s="345">
        <f>IFERROR($I353*VLOOKUP($H353,食材表!$A:G,7,FALSE),0)+IFERROR($I354*VLOOKUP($H354,食材表!$A:G,7,FALSE),0)+IFERROR($I355*VLOOKUP($H355,食材表!$A:G,7,FALSE),0)+IFERROR($K353*VLOOKUP($J353,食材表!$A:G,7,FALSE),0)+IFERROR($K354*VLOOKUP($J354,食材表!$A:G,7,FALSE),0)+IFERROR($K355*VLOOKUP($J355,食材表!$A:G,7,FALSE),0)</f>
        <v>0</v>
      </c>
      <c r="Q353" s="345">
        <f>IFERROR($I353*VLOOKUP($H353,食材表!$A:H,8,FALSE),0)+IFERROR($I354*VLOOKUP($H354,食材表!$A:H,8,FALSE),0)+IFERROR($I355*VLOOKUP($H355,食材表!$A:H,8,FALSE),0)+IFERROR($K353*VLOOKUP($J353,食材表!$A:H,8,FALSE),0)+IFERROR($K354*VLOOKUP($J354,食材表!$A:H,8,FALSE),0)+IFERROR($K355*VLOOKUP($J355,食材表!$A:H,8,FALSE),0)</f>
        <v>0</v>
      </c>
      <c r="R353" s="345">
        <f>IFERROR($I353*VLOOKUP($H353,食材表!$A:I,9,FALSE),0)+IFERROR($I354*VLOOKUP($H354,食材表!$A:I,9,FALSE),0)+IFERROR($I355*VLOOKUP($H355,食材表!$A:I,9,FALSE),0)+IFERROR($K353*VLOOKUP($J353,食材表!$A:I,9,FALSE),0)+IFERROR($K354*VLOOKUP($J354,食材表!$A:I,9,FALSE),0)+IFERROR($K355*VLOOKUP($J355,食材表!$A:I,9,FALSE),0)</f>
        <v>0</v>
      </c>
      <c r="S353" s="345">
        <f>SUM(L353*70+M353*75+N353*120+O353*25+P353*60+Q353*45+R353*4)</f>
        <v>2</v>
      </c>
    </row>
    <row r="354" spans="1:19">
      <c r="A354" s="33" t="str">
        <f>"2"&amp;+$B353</f>
        <v>2香菇雞湯麵線</v>
      </c>
      <c r="B354" s="363"/>
      <c r="C354" s="31" t="s">
        <v>204</v>
      </c>
      <c r="D354" s="33">
        <v>2</v>
      </c>
      <c r="E354" s="31"/>
      <c r="F354" s="33"/>
      <c r="G354" s="366"/>
      <c r="H354" s="93" t="str">
        <f t="shared" ref="H354:H355" si="244">C354</f>
        <v>雞腿仁丁</v>
      </c>
      <c r="I354" s="86">
        <f>(2*IFERROR(MID(D354,FIND("2L*",D354)+3,1),0)+1*IFERROR(MID(D354,FIND("1L*",D354)+3,2),0))/$A$1</f>
        <v>0</v>
      </c>
      <c r="J354" s="93">
        <f t="shared" ref="J354:J355" si="245">E354</f>
        <v>0</v>
      </c>
      <c r="K354" s="86" t="str">
        <f>IFERROR(IF(LEN(F354)=LENB(F354),ROUND(LEFT(F354,2*LEN(F354)-LENB(F354))/$A$1,3),((ROUND(LEFT(F354,2*LEN(F354)-LENB(F354))/$A$1,3))*VLOOKUP(J354,食材表!$A:$B,2,FALSE))),"")</f>
        <v/>
      </c>
      <c r="L354" s="345"/>
      <c r="M354" s="345"/>
      <c r="N354" s="345"/>
      <c r="O354" s="345"/>
      <c r="P354" s="345"/>
      <c r="Q354" s="345"/>
      <c r="R354" s="345"/>
      <c r="S354" s="345"/>
    </row>
    <row r="355" spans="1:19">
      <c r="A355" s="33" t="str">
        <f>"3"&amp;+$B353</f>
        <v>3香菇雞湯麵線</v>
      </c>
      <c r="B355" s="364"/>
      <c r="C355" s="28" t="s">
        <v>52</v>
      </c>
      <c r="D355" s="36">
        <v>0.3</v>
      </c>
      <c r="E355" s="28"/>
      <c r="F355" s="8"/>
      <c r="G355" s="367"/>
      <c r="H355" s="92" t="str">
        <f t="shared" si="244"/>
        <v>生香菇</v>
      </c>
      <c r="I355" s="84">
        <f>IFERROR(IF(LEN(D355)=LENB(D355),ROUND(LEFT(D355,2*LEN(D355)-LENB(D355))/$A$1,3),((ROUND(LEFT(D355,2*LEN(D355)-LENB(D355))/$A$1,3))*VLOOKUP(H355,食材表!$A:$B,2,FALSE))),"")</f>
        <v>6.0000000000000001E-3</v>
      </c>
      <c r="J355" s="92">
        <f t="shared" si="245"/>
        <v>0</v>
      </c>
      <c r="K355" s="85" t="str">
        <f>IFERROR(IF(LEN(F355)=LENB(F355),ROUND(LEFT(F355,2*LEN(F355)-LENB(F355))/$A$1,3),((ROUND(LEFT(F355,2*LEN(F355)-LENB(F355))/$A$1,3))*VLOOKUP(J355,食材表!$A:$B,2,FALSE))),"")</f>
        <v/>
      </c>
      <c r="L355" s="345"/>
      <c r="M355" s="345"/>
      <c r="N355" s="345"/>
      <c r="O355" s="345"/>
      <c r="P355" s="345"/>
      <c r="Q355" s="345"/>
      <c r="R355" s="345"/>
      <c r="S355" s="345"/>
    </row>
    <row r="356" spans="1:19">
      <c r="A356" s="33" t="str">
        <f>"1"&amp;+$B356</f>
        <v>1珊瑚麵疙瘩</v>
      </c>
      <c r="B356" s="355" t="s">
        <v>91</v>
      </c>
      <c r="C356" s="57" t="s">
        <v>73</v>
      </c>
      <c r="D356" s="56">
        <v>3.6</v>
      </c>
      <c r="E356" s="58" t="s">
        <v>74</v>
      </c>
      <c r="F356" s="56">
        <v>0.6</v>
      </c>
      <c r="G356" s="365" t="str">
        <f>B356</f>
        <v>珊瑚麵疙瘩</v>
      </c>
      <c r="H356" s="91" t="str">
        <f>C356</f>
        <v>麵疙瘩</v>
      </c>
      <c r="I356" s="83">
        <f>IFERROR(IF(LEN(D356)=LENB(D356),ROUND(LEFT(D356,2*LEN(D356)-LENB(D356))/$A$1,3),((ROUND(LEFT(D356,2*LEN(D356)-LENB(D356))/$A$1,3))*VLOOKUP(H356,食材表!$A:$B,2,FALSE))),"")</f>
        <v>7.1999999999999995E-2</v>
      </c>
      <c r="J356" s="91" t="str">
        <f>E356</f>
        <v>青江菜</v>
      </c>
      <c r="K356" s="83">
        <f>IFERROR(IF(LEN(F356)=LENB(F356),ROUND(LEFT(F356,2*LEN(F356)-LENB(F356))/$A$1,3),((ROUND(LEFT(F356,2*LEN(F356)-LENB(F356))/$A$1,3))*VLOOKUP(J356,食材表!$A:$B,2,FALSE))),"")</f>
        <v>1.2E-2</v>
      </c>
      <c r="L356" s="345">
        <f>IFERROR($I356*VLOOKUP($H356,食材表!$A:C,3,FALSE),0)+IFERROR($I357*VLOOKUP($H357,食材表!$A:C,3,FALSE),0)+IFERROR($I358*VLOOKUP($H358,食材表!$A:C,3,FALSE),0)+IFERROR($K356*VLOOKUP($J356,食材表!$A:C,3,FALSE),0)+IFERROR($K357*VLOOKUP($J357,食材表!$A:C,3,FALSE),0)+IFERROR($K358*VLOOKUP($J358,食材表!$A:C,3,FALSE),0)</f>
        <v>1.2</v>
      </c>
      <c r="M356" s="345">
        <f>IFERROR($I356*VLOOKUP($H356,食材表!$A:D,4,FALSE),0)+IFERROR($I357*VLOOKUP($H357,食材表!$A:D,4,FALSE),0)+IFERROR($I358*VLOOKUP($H358,食材表!$A:D,4,FALSE),0)+IFERROR($K356*VLOOKUP($J356,食材表!$A:D,4,FALSE),0)+IFERROR($K357*VLOOKUP($J357,食材表!$A:D,4,FALSE),0)+IFERROR($K358*VLOOKUP($J358,食材表!$A:D,4,FALSE),0)</f>
        <v>0.34285714285714286</v>
      </c>
      <c r="N356" s="345">
        <f>IFERROR($I356*VLOOKUP($H356,食材表!$A:E,5,FALSE),0)+IFERROR($I357*VLOOKUP($H357,食材表!$A:E,5,FALSE),0)+IFERROR($I358*VLOOKUP($H358,食材表!$A:E,5,FALSE),0)+IFERROR($K356*VLOOKUP($J356,食材表!$A:E,5,FALSE),0)+IFERROR($K357*VLOOKUP($J357,食材表!$A:E,5,FALSE),0)+IFERROR($K358*VLOOKUP($J358,食材表!$A:E,5,FALSE),0)</f>
        <v>0</v>
      </c>
      <c r="O356" s="345">
        <f>IFERROR($I356*VLOOKUP($H356,食材表!$A:F,6,FALSE),0)+IFERROR($I357*VLOOKUP($H357,食材表!$A:F,6,FALSE),0)+IFERROR($I358*VLOOKUP($H358,食材表!$A:F,6,FALSE),0)+IFERROR($K356*VLOOKUP($J356,食材表!$A:F,6,FALSE),0)+IFERROR($K357*VLOOKUP($J357,食材表!$A:F,6,FALSE),0)+IFERROR($K358*VLOOKUP($J358,食材表!$A:F,6,FALSE),0)</f>
        <v>0.24000000000000002</v>
      </c>
      <c r="P356" s="345">
        <f>IFERROR($I356*VLOOKUP($H356,食材表!$A:G,7,FALSE),0)+IFERROR($I357*VLOOKUP($H357,食材表!$A:G,7,FALSE),0)+IFERROR($I358*VLOOKUP($H358,食材表!$A:G,7,FALSE),0)+IFERROR($K356*VLOOKUP($J356,食材表!$A:G,7,FALSE),0)+IFERROR($K357*VLOOKUP($J357,食材表!$A:G,7,FALSE),0)+IFERROR($K358*VLOOKUP($J358,食材表!$A:G,7,FALSE),0)</f>
        <v>0</v>
      </c>
      <c r="Q356" s="345">
        <f>IFERROR($I356*VLOOKUP($H356,食材表!$A:H,8,FALSE),0)+IFERROR($I357*VLOOKUP($H357,食材表!$A:H,8,FALSE),0)+IFERROR($I358*VLOOKUP($H358,食材表!$A:H,8,FALSE),0)+IFERROR($K356*VLOOKUP($J356,食材表!$A:H,8,FALSE),0)+IFERROR($K357*VLOOKUP($J357,食材表!$A:H,8,FALSE),0)+IFERROR($K358*VLOOKUP($J358,食材表!$A:H,8,FALSE),0)</f>
        <v>0</v>
      </c>
      <c r="R356" s="345">
        <f>IFERROR($I356*VLOOKUP($H356,食材表!$A:I,9,FALSE),0)+IFERROR($I357*VLOOKUP($H357,食材表!$A:I,9,FALSE),0)+IFERROR($I358*VLOOKUP($H358,食材表!$A:I,9,FALSE),0)+IFERROR($K356*VLOOKUP($J356,食材表!$A:I,9,FALSE),0)+IFERROR($K357*VLOOKUP($J357,食材表!$A:I,9,FALSE),0)+IFERROR($K358*VLOOKUP($J358,食材表!$A:I,9,FALSE),0)</f>
        <v>0</v>
      </c>
      <c r="S356" s="345">
        <f>SUM(L356*70+M356*75+N356*120+O356*25+P356*60+Q356*45+R356*4)</f>
        <v>115.71428571428572</v>
      </c>
    </row>
    <row r="357" spans="1:19">
      <c r="A357" s="33" t="str">
        <f>"2"&amp;+$B356</f>
        <v>2珊瑚麵疙瘩</v>
      </c>
      <c r="B357" s="356"/>
      <c r="C357" s="50" t="s">
        <v>47</v>
      </c>
      <c r="D357" s="40">
        <v>0.6</v>
      </c>
      <c r="E357" s="27" t="s">
        <v>75</v>
      </c>
      <c r="F357" s="33">
        <v>0.2</v>
      </c>
      <c r="G357" s="366"/>
      <c r="H357" s="93" t="str">
        <f t="shared" ref="H357:H358" si="246">C357</f>
        <v>豬肉絲</v>
      </c>
      <c r="I357" s="86">
        <f>IFERROR(IF(LEN(D357)=LENB(D357),ROUND(LEFT(D357,2*LEN(D357)-LENB(D357))/$A$1,3),((ROUND(LEFT(D357,2*LEN(D357)-LENB(D357))/$A$1,3))*VLOOKUP(H357,食材表!$A:$B,2,FALSE))),"")</f>
        <v>1.2E-2</v>
      </c>
      <c r="J357" s="93" t="str">
        <f t="shared" ref="J357:J358" si="247">E357</f>
        <v>紅蘿蔔</v>
      </c>
      <c r="K357" s="86">
        <f>IFERROR(IF(LEN(F357)=LENB(F357),ROUND(LEFT(F357,2*LEN(F357)-LENB(F357))/$A$1,3),((ROUND(LEFT(F357,2*LEN(F357)-LENB(F357))/$A$1,3))*VLOOKUP(J357,食材表!$A:$B,2,FALSE))),"")</f>
        <v>4.0000000000000001E-3</v>
      </c>
      <c r="L357" s="345"/>
      <c r="M357" s="345"/>
      <c r="N357" s="345"/>
      <c r="O357" s="345"/>
      <c r="P357" s="345"/>
      <c r="Q357" s="345"/>
      <c r="R357" s="345"/>
      <c r="S357" s="345"/>
    </row>
    <row r="358" spans="1:19">
      <c r="A358" s="33" t="str">
        <f>"3"&amp;+$B356</f>
        <v>3珊瑚麵疙瘩</v>
      </c>
      <c r="B358" s="357"/>
      <c r="C358" s="28" t="s">
        <v>52</v>
      </c>
      <c r="D358" s="8">
        <v>0.4</v>
      </c>
      <c r="E358" s="29"/>
      <c r="F358" s="8"/>
      <c r="G358" s="367"/>
      <c r="H358" s="92" t="str">
        <f t="shared" si="246"/>
        <v>生香菇</v>
      </c>
      <c r="I358" s="84">
        <f>IFERROR(IF(LEN(D358)=LENB(D358),ROUND(LEFT(D358,2*LEN(D358)-LENB(D358))/$A$1,3),((ROUND(LEFT(D358,2*LEN(D358)-LENB(D358))/$A$1,3))*VLOOKUP(H358,食材表!$A:$B,2,FALSE))),"")</f>
        <v>8.0000000000000002E-3</v>
      </c>
      <c r="J358" s="92">
        <f t="shared" si="247"/>
        <v>0</v>
      </c>
      <c r="K358" s="85" t="str">
        <f>IFERROR(IF(LEN(F358)=LENB(F358),ROUND(LEFT(F358,2*LEN(F358)-LENB(F358))/$A$1,3),((ROUND(LEFT(F358,2*LEN(F358)-LENB(F358))/$A$1,3))*VLOOKUP(J358,食材表!$A:$B,2,FALSE))),"")</f>
        <v/>
      </c>
      <c r="L358" s="345"/>
      <c r="M358" s="345"/>
      <c r="N358" s="345"/>
      <c r="O358" s="345"/>
      <c r="P358" s="345"/>
      <c r="Q358" s="345"/>
      <c r="R358" s="345"/>
      <c r="S358" s="345"/>
    </row>
    <row r="359" spans="1:19">
      <c r="A359" s="33" t="str">
        <f>"1"&amp;+$B359</f>
        <v>1魷魚羹麵</v>
      </c>
      <c r="B359" s="349" t="s">
        <v>1215</v>
      </c>
      <c r="C359" s="60" t="s">
        <v>919</v>
      </c>
      <c r="D359" s="59">
        <v>1.5</v>
      </c>
      <c r="E359" s="60" t="s">
        <v>954</v>
      </c>
      <c r="F359" s="36" t="s">
        <v>238</v>
      </c>
      <c r="G359" s="358" t="str">
        <f>B359</f>
        <v>魷魚羹麵</v>
      </c>
      <c r="H359" s="91" t="str">
        <f>C359</f>
        <v>魷魚羹</v>
      </c>
      <c r="I359" s="83">
        <f>IFERROR(IF(LEN(D359)=LENB(D359),ROUND(LEFT(D359,2*LEN(D359)-LENB(D359))/$A$1,3),((ROUND(LEFT(D359,2*LEN(D359)-LENB(D359))/$A$1,3))*VLOOKUP(H359,食材表!$A:$B,2,FALSE))),"")</f>
        <v>0.03</v>
      </c>
      <c r="J359" s="91" t="str">
        <f>E359</f>
        <v>蒜酥</v>
      </c>
      <c r="K359" s="83">
        <f>IFERROR(IF(LEN(F359)=LENB(F359),ROUND(LEFT(F359,2*LEN(F359)-LENB(F359))/$A$1,3),((ROUND(LEFT(F359,2*LEN(F359)-LENB(F359))/$A$1,3))*VLOOKUP(J359,食材表!$A:$B,2,FALSE))),"")</f>
        <v>3.0000000000000001E-3</v>
      </c>
      <c r="L359" s="342">
        <f>IFERROR($I359*VLOOKUP($H359,食材表!$A:C,3,FALSE),0)+IFERROR($I360*VLOOKUP($H360,食材表!$A:C,3,FALSE),0)+IFERROR($I361*VLOOKUP($H361,食材表!$A:C,3,FALSE),0)+IFERROR($K359*VLOOKUP($J359,食材表!$A:C,3,FALSE),0)+IFERROR($K360*VLOOKUP($J360,食材表!$A:C,3,FALSE),0)+IFERROR($K361*VLOOKUP($J361,食材表!$A:C,3,FALSE),0)</f>
        <v>0</v>
      </c>
      <c r="M359" s="342">
        <f>IFERROR($I359*VLOOKUP($H359,食材表!$A:D,4,FALSE),0)+IFERROR($I360*VLOOKUP($H360,食材表!$A:D,4,FALSE),0)+IFERROR($I361*VLOOKUP($H361,食材表!$A:D,4,FALSE),0)+IFERROR($K359*VLOOKUP($J359,食材表!$A:D,4,FALSE),0)+IFERROR($K360*VLOOKUP($J360,食材表!$A:D,4,FALSE),0)+IFERROR($K361*VLOOKUP($J361,食材表!$A:D,4,FALSE),0)</f>
        <v>0.6</v>
      </c>
      <c r="N359" s="342">
        <f>IFERROR($I359*VLOOKUP($H359,食材表!$A:E,5,FALSE),0)+IFERROR($I360*VLOOKUP($H360,食材表!$A:E,5,FALSE),0)+IFERROR($I361*VLOOKUP($H361,食材表!$A:E,5,FALSE),0)+IFERROR($K359*VLOOKUP($J359,食材表!$A:E,5,FALSE),0)+IFERROR($K360*VLOOKUP($J360,食材表!$A:E,5,FALSE),0)+IFERROR($K361*VLOOKUP($J361,食材表!$A:E,5,FALSE),0)</f>
        <v>0</v>
      </c>
      <c r="O359" s="342">
        <f>IFERROR($I359*VLOOKUP($H359,食材表!$A:F,6,FALSE),0)+IFERROR($I360*VLOOKUP($H360,食材表!$A:F,6,FALSE),0)+IFERROR($I361*VLOOKUP($H361,食材表!$A:F,6,FALSE),0)+IFERROR($K359*VLOOKUP($J359,食材表!$A:F,6,FALSE),0)+IFERROR($K360*VLOOKUP($J360,食材表!$A:F,6,FALSE),0)+IFERROR($K361*VLOOKUP($J361,食材表!$A:F,6,FALSE),0)</f>
        <v>0.24</v>
      </c>
      <c r="P359" s="342">
        <f>IFERROR($I359*VLOOKUP($H359,食材表!$A:G,7,FALSE),0)+IFERROR($I360*VLOOKUP($H360,食材表!$A:G,7,FALSE),0)+IFERROR($I361*VLOOKUP($H361,食材表!$A:G,7,FALSE),0)+IFERROR($K359*VLOOKUP($J359,食材表!$A:G,7,FALSE),0)+IFERROR($K360*VLOOKUP($J360,食材表!$A:G,7,FALSE),0)+IFERROR($K361*VLOOKUP($J361,食材表!$A:G,7,FALSE),0)</f>
        <v>0</v>
      </c>
      <c r="Q359" s="342">
        <f>IFERROR($I359*VLOOKUP($H359,食材表!$A:H,8,FALSE),0)+IFERROR($I360*VLOOKUP($H360,食材表!$A:H,8,FALSE),0)+IFERROR($I361*VLOOKUP($H361,食材表!$A:H,8,FALSE),0)+IFERROR($K359*VLOOKUP($J359,食材表!$A:H,8,FALSE),0)+IFERROR($K360*VLOOKUP($J360,食材表!$A:H,8,FALSE),0)+IFERROR($K361*VLOOKUP($J361,食材表!$A:H,8,FALSE),0)</f>
        <v>0</v>
      </c>
      <c r="R359" s="342">
        <f>IFERROR($I359*VLOOKUP($H359,食材表!$A:I,9,FALSE),0)+IFERROR($I360*VLOOKUP($H360,食材表!$A:I,9,FALSE),0)+IFERROR($I361*VLOOKUP($H361,食材表!$A:I,9,FALSE),0)+IFERROR($K359*VLOOKUP($J359,食材表!$A:I,9,FALSE),0)+IFERROR($K360*VLOOKUP($J360,食材表!$A:I,9,FALSE),0)+IFERROR($K361*VLOOKUP($J361,食材表!$A:I,9,FALSE),0)</f>
        <v>0</v>
      </c>
      <c r="S359" s="342">
        <f>SUM(L359*70+M359*75+N359*120+O359*25+P359*60+Q359*45+R359*4)</f>
        <v>51</v>
      </c>
    </row>
    <row r="360" spans="1:19">
      <c r="A360" s="33" t="str">
        <f>"2"&amp;+$B359</f>
        <v>2魷魚羹麵</v>
      </c>
      <c r="B360" s="350"/>
      <c r="C360" s="22" t="s">
        <v>164</v>
      </c>
      <c r="D360" s="36">
        <v>3.6</v>
      </c>
      <c r="E360" s="22" t="s">
        <v>53</v>
      </c>
      <c r="F360" s="36" t="s">
        <v>955</v>
      </c>
      <c r="G360" s="353"/>
      <c r="H360" s="93" t="str">
        <f t="shared" ref="H360:H361" si="248">C360</f>
        <v>細烏龍麵</v>
      </c>
      <c r="I360" s="86">
        <f>(2*IFERROR(MID(D360,FIND("2L*",D360)+3,1),0)+1*IFERROR(MID(D360,FIND("1L*",D360)+3,2),0))/$A$1</f>
        <v>0</v>
      </c>
      <c r="J360" s="93" t="str">
        <f t="shared" ref="J360:J361" si="249">E360</f>
        <v>柴魚片</v>
      </c>
      <c r="K360" s="86">
        <f>IFERROR(IF(LEN(F360)=LENB(F360),ROUND(LEFT(F360,2*LEN(F360)-LENB(F360))/$A$1,3),((ROUND(LEFT(F360,2*LEN(F360)-LENB(F360))/$A$1,3))*VLOOKUP(J360,食材表!$A:$B,2,FALSE))),"")</f>
        <v>1.2E-2</v>
      </c>
      <c r="L360" s="343"/>
      <c r="M360" s="343"/>
      <c r="N360" s="343"/>
      <c r="O360" s="343"/>
      <c r="P360" s="343"/>
      <c r="Q360" s="343"/>
      <c r="R360" s="343"/>
      <c r="S360" s="343"/>
    </row>
    <row r="361" spans="1:19">
      <c r="A361" s="33" t="str">
        <f>"3"&amp;+$B359</f>
        <v>3魷魚羹麵</v>
      </c>
      <c r="B361" s="351"/>
      <c r="C361" s="26" t="s">
        <v>46</v>
      </c>
      <c r="D361" s="37">
        <v>1.2</v>
      </c>
      <c r="E361" s="26" t="s">
        <v>436</v>
      </c>
      <c r="F361" s="37" t="s">
        <v>431</v>
      </c>
      <c r="G361" s="354"/>
      <c r="H361" s="92" t="str">
        <f t="shared" si="248"/>
        <v>高麗菜</v>
      </c>
      <c r="I361" s="84">
        <f>IFERROR(IF(LEN(D361)=LENB(D361),ROUND(LEFT(D361,2*LEN(D361)-LENB(D361))/$A$1,3),((ROUND(LEFT(D361,2*LEN(D361)-LENB(D361))/$A$1,3))*VLOOKUP(H361,食材表!$A:$B,2,FALSE))),"")</f>
        <v>2.4E-2</v>
      </c>
      <c r="J361" s="92" t="str">
        <f t="shared" si="249"/>
        <v>沙茶醬</v>
      </c>
      <c r="K361" s="85">
        <f>IFERROR(IF(LEN(F361)=LENB(F361),ROUND(LEFT(F361,2*LEN(F361)-LENB(F361))/$A$1,3),((ROUND(LEFT(F361,2*LEN(F361)-LENB(F361))/$A$1,3))*VLOOKUP(J361,食材表!$A:$B,2,FALSE))),"")</f>
        <v>5.0000000000000001E-3</v>
      </c>
      <c r="L361" s="344"/>
      <c r="M361" s="344"/>
      <c r="N361" s="344"/>
      <c r="O361" s="344"/>
      <c r="P361" s="344"/>
      <c r="Q361" s="344"/>
      <c r="R361" s="344"/>
      <c r="S361" s="344"/>
    </row>
    <row r="362" spans="1:19">
      <c r="A362" s="33" t="str">
        <f>"1"&amp;+$B362</f>
        <v>1魚丸細粉</v>
      </c>
      <c r="B362" s="349" t="s">
        <v>143</v>
      </c>
      <c r="C362" s="60" t="s">
        <v>357</v>
      </c>
      <c r="D362" s="59">
        <v>0.8</v>
      </c>
      <c r="E362" s="60" t="s">
        <v>46</v>
      </c>
      <c r="F362" s="36">
        <v>1.5</v>
      </c>
      <c r="G362" s="374" t="str">
        <f>B362</f>
        <v>魚丸細粉</v>
      </c>
      <c r="H362" s="91" t="str">
        <f>C362</f>
        <v>虱目魚丸</v>
      </c>
      <c r="I362" s="83">
        <f>IFERROR(IF(LEN(D362)=LENB(D362),ROUND(LEFT(D362,2*LEN(D362)-LENB(D362))/$A$1,3),((ROUND(LEFT(D362,2*LEN(D362)-LENB(D362))/$A$1,3))*VLOOKUP(H362,食材表!$A:$B,2,FALSE))),"")</f>
        <v>1.6E-2</v>
      </c>
      <c r="J362" s="91" t="str">
        <f>E362</f>
        <v>高麗菜</v>
      </c>
      <c r="K362" s="83">
        <f>IFERROR(IF(LEN(F362)=LENB(F362),ROUND(LEFT(F362,2*LEN(F362)-LENB(F362))/$A$1,3),((ROUND(LEFT(F362,2*LEN(F362)-LENB(F362))/$A$1,3))*VLOOKUP(J362,食材表!$A:$B,2,FALSE))),"")</f>
        <v>0.03</v>
      </c>
      <c r="L362" s="342">
        <f>IFERROR($I362*VLOOKUP($H362,食材表!$A:C,3,FALSE),0)+IFERROR($I363*VLOOKUP($H363,食材表!$A:C,3,FALSE),0)+IFERROR($I364*VLOOKUP($H364,食材表!$A:C,3,FALSE),0)+IFERROR($K362*VLOOKUP($J362,食材表!$A:C,3,FALSE),0)+IFERROR($K363*VLOOKUP($J363,食材表!$A:C,3,FALSE),0)+IFERROR($K364*VLOOKUP($J364,食材表!$A:C,3,FALSE),0)</f>
        <v>0</v>
      </c>
      <c r="M362" s="342">
        <f>IFERROR($I362*VLOOKUP($H362,食材表!$A:D,4,FALSE),0)+IFERROR($I363*VLOOKUP($H363,食材表!$A:D,4,FALSE),0)+IFERROR($I364*VLOOKUP($H364,食材表!$A:D,4,FALSE),0)+IFERROR($K362*VLOOKUP($J362,食材表!$A:D,4,FALSE),0)+IFERROR($K363*VLOOKUP($J363,食材表!$A:D,4,FALSE),0)+IFERROR($K364*VLOOKUP($J364,食材表!$A:D,4,FALSE),0)</f>
        <v>0.32</v>
      </c>
      <c r="N362" s="342">
        <f>IFERROR($I362*VLOOKUP($H362,食材表!$A:E,5,FALSE),0)+IFERROR($I363*VLOOKUP($H363,食材表!$A:E,5,FALSE),0)+IFERROR($I364*VLOOKUP($H364,食材表!$A:E,5,FALSE),0)+IFERROR($K362*VLOOKUP($J362,食材表!$A:E,5,FALSE),0)+IFERROR($K363*VLOOKUP($J363,食材表!$A:E,5,FALSE),0)+IFERROR($K364*VLOOKUP($J364,食材表!$A:E,5,FALSE),0)</f>
        <v>0</v>
      </c>
      <c r="O362" s="342">
        <f>IFERROR($I362*VLOOKUP($H362,食材表!$A:F,6,FALSE),0)+IFERROR($I363*VLOOKUP($H363,食材表!$A:F,6,FALSE),0)+IFERROR($I364*VLOOKUP($H364,食材表!$A:F,6,FALSE),0)+IFERROR($K362*VLOOKUP($J362,食材表!$A:F,6,FALSE),0)+IFERROR($K363*VLOOKUP($J363,食材表!$A:F,6,FALSE),0)+IFERROR($K364*VLOOKUP($J364,食材表!$A:F,6,FALSE),0)</f>
        <v>0.38999999999999996</v>
      </c>
      <c r="P362" s="342">
        <f>IFERROR($I362*VLOOKUP($H362,食材表!$A:G,7,FALSE),0)+IFERROR($I363*VLOOKUP($H363,食材表!$A:G,7,FALSE),0)+IFERROR($I364*VLOOKUP($H364,食材表!$A:G,7,FALSE),0)+IFERROR($K362*VLOOKUP($J362,食材表!$A:G,7,FALSE),0)+IFERROR($K363*VLOOKUP($J363,食材表!$A:G,7,FALSE),0)+IFERROR($K364*VLOOKUP($J364,食材表!$A:G,7,FALSE),0)</f>
        <v>0</v>
      </c>
      <c r="Q362" s="342">
        <f>IFERROR($I362*VLOOKUP($H362,食材表!$A:H,8,FALSE),0)+IFERROR($I363*VLOOKUP($H363,食材表!$A:H,8,FALSE),0)+IFERROR($I364*VLOOKUP($H364,食材表!$A:H,8,FALSE),0)+IFERROR($K362*VLOOKUP($J362,食材表!$A:H,8,FALSE),0)+IFERROR($K363*VLOOKUP($J363,食材表!$A:H,8,FALSE),0)+IFERROR($K364*VLOOKUP($J364,食材表!$A:H,8,FALSE),0)</f>
        <v>0</v>
      </c>
      <c r="R362" s="342">
        <f>IFERROR($I362*VLOOKUP($H362,食材表!$A:I,9,FALSE),0)+IFERROR($I363*VLOOKUP($H363,食材表!$A:I,9,FALSE),0)+IFERROR($I364*VLOOKUP($H364,食材表!$A:I,9,FALSE),0)+IFERROR($K362*VLOOKUP($J362,食材表!$A:I,9,FALSE),0)+IFERROR($K363*VLOOKUP($J363,食材表!$A:I,9,FALSE),0)+IFERROR($K364*VLOOKUP($J364,食材表!$A:I,9,FALSE),0)</f>
        <v>0</v>
      </c>
      <c r="S362" s="342">
        <f>SUM(L362*70+M362*75+N362*120+O362*25+P362*60+Q362*45+R362*4)</f>
        <v>33.75</v>
      </c>
    </row>
    <row r="363" spans="1:19">
      <c r="A363" s="33" t="str">
        <f>"2"&amp;+$B362</f>
        <v>2魚丸細粉</v>
      </c>
      <c r="B363" s="350"/>
      <c r="C363" s="22" t="s">
        <v>200</v>
      </c>
      <c r="D363" s="36">
        <v>1</v>
      </c>
      <c r="E363" s="22" t="s">
        <v>160</v>
      </c>
      <c r="F363" s="36" t="s">
        <v>958</v>
      </c>
      <c r="G363" s="375"/>
      <c r="H363" s="93" t="str">
        <f t="shared" ref="H363:H364" si="250">C363</f>
        <v>冬粉</v>
      </c>
      <c r="I363" s="86">
        <f>(2*IFERROR(MID(D363,FIND("2L*",D363)+3,1),0)+1*IFERROR(MID(D363,FIND("1L*",D363)+3,2),0))/$A$1</f>
        <v>0</v>
      </c>
      <c r="J363" s="93" t="str">
        <f t="shared" ref="J363:J364" si="251">E363</f>
        <v>胡蘿蔔</v>
      </c>
      <c r="K363" s="86">
        <f>IFERROR(IF(LEN(F363)=LENB(F363),ROUND(LEFT(F363,2*LEN(F363)-LENB(F363))/$A$1,3),((ROUND(LEFT(F363,2*LEN(F363)-LENB(F363))/$A$1,3))*VLOOKUP(J363,食材表!$A:$B,2,FALSE))),"")</f>
        <v>5.0000000000000001E-3</v>
      </c>
      <c r="L363" s="343"/>
      <c r="M363" s="343"/>
      <c r="N363" s="343"/>
      <c r="O363" s="343"/>
      <c r="P363" s="343"/>
      <c r="Q363" s="343"/>
      <c r="R363" s="343"/>
      <c r="S363" s="343"/>
    </row>
    <row r="364" spans="1:19">
      <c r="A364" s="33" t="str">
        <f>"3"&amp;+$B362</f>
        <v>3魚丸細粉</v>
      </c>
      <c r="B364" s="351"/>
      <c r="C364" s="26" t="s">
        <v>169</v>
      </c>
      <c r="D364" s="37">
        <v>0.2</v>
      </c>
      <c r="E364" s="26"/>
      <c r="F364" s="37"/>
      <c r="G364" s="376"/>
      <c r="H364" s="92" t="str">
        <f t="shared" si="250"/>
        <v>芹菜</v>
      </c>
      <c r="I364" s="84">
        <f>IFERROR(IF(LEN(D364)=LENB(D364),ROUND(LEFT(D364,2*LEN(D364)-LENB(D364))/$A$1,3),((ROUND(LEFT(D364,2*LEN(D364)-LENB(D364))/$A$1,3))*VLOOKUP(H364,食材表!$A:$B,2,FALSE))),"")</f>
        <v>4.0000000000000001E-3</v>
      </c>
      <c r="J364" s="92">
        <f t="shared" si="251"/>
        <v>0</v>
      </c>
      <c r="K364" s="85" t="str">
        <f>IFERROR(IF(LEN(F364)=LENB(F364),ROUND(LEFT(F364,2*LEN(F364)-LENB(F364))/$A$1,3),((ROUND(LEFT(F364,2*LEN(F364)-LENB(F364))/$A$1,3))*VLOOKUP(J364,食材表!$A:$B,2,FALSE))),"")</f>
        <v/>
      </c>
      <c r="L364" s="344"/>
      <c r="M364" s="344"/>
      <c r="N364" s="344"/>
      <c r="O364" s="344"/>
      <c r="P364" s="344"/>
      <c r="Q364" s="344"/>
      <c r="R364" s="344"/>
      <c r="S364" s="344"/>
    </row>
    <row r="365" spans="1:19">
      <c r="A365" s="33" t="str">
        <f>"1"&amp;+$B365</f>
        <v>1魚丸冬粉湯</v>
      </c>
      <c r="B365" s="349" t="s">
        <v>1069</v>
      </c>
      <c r="C365" s="90" t="s">
        <v>357</v>
      </c>
      <c r="D365" s="59">
        <v>1.5</v>
      </c>
      <c r="E365" s="60" t="s">
        <v>52</v>
      </c>
      <c r="F365" s="59">
        <v>0.8</v>
      </c>
      <c r="G365" s="352" t="str">
        <f>B365</f>
        <v>魚丸冬粉湯</v>
      </c>
      <c r="H365" s="91" t="str">
        <f>C365</f>
        <v>虱目魚丸</v>
      </c>
      <c r="I365" s="83">
        <f>IFERROR(IF(LEN(D365)=LENB(D365),ROUND(LEFT(D365,2*LEN(D365)-LENB(D365))/$A$1,3),((ROUND(LEFT(D365,2*LEN(D365)-LENB(D365))/$A$1,3))*VLOOKUP(H365,食材表!$A:$B,2,FALSE))),"")</f>
        <v>0.03</v>
      </c>
      <c r="J365" s="91" t="str">
        <f>E365</f>
        <v>生香菇</v>
      </c>
      <c r="K365" s="83">
        <f>IFERROR(IF(LEN(F365)=LENB(F365),ROUND(LEFT(F365,2*LEN(F365)-LENB(F365))/$A$1,3),((ROUND(LEFT(F365,2*LEN(F365)-LENB(F365))/$A$1,3))*VLOOKUP(J365,食材表!$A:$B,2,FALSE))),"")</f>
        <v>1.6E-2</v>
      </c>
      <c r="L365" s="342">
        <f>IFERROR($I365*VLOOKUP($H365,食材表!$A:C,3,FALSE),0)+IFERROR($I366*VLOOKUP($H366,食材表!$A:C,3,FALSE),0)+IFERROR($I367*VLOOKUP($H367,食材表!$A:C,3,FALSE),0)+IFERROR($K365*VLOOKUP($J365,食材表!$A:C,3,FALSE),0)+IFERROR($K366*VLOOKUP($J366,食材表!$A:C,3,FALSE),0)+IFERROR($K367*VLOOKUP($J367,食材表!$A:C,3,FALSE),0)</f>
        <v>1.3333333333333335</v>
      </c>
      <c r="M365" s="342">
        <f>IFERROR($I365*VLOOKUP($H365,食材表!$A:D,4,FALSE),0)+IFERROR($I366*VLOOKUP($H366,食材表!$A:D,4,FALSE),0)+IFERROR($I367*VLOOKUP($H367,食材表!$A:D,4,FALSE),0)+IFERROR($K365*VLOOKUP($J365,食材表!$A:D,4,FALSE),0)+IFERROR($K366*VLOOKUP($J366,食材表!$A:D,4,FALSE),0)+IFERROR($K367*VLOOKUP($J367,食材表!$A:D,4,FALSE),0)</f>
        <v>0.6</v>
      </c>
      <c r="N365" s="342">
        <f>IFERROR($I365*VLOOKUP($H365,食材表!$A:E,5,FALSE),0)+IFERROR($I366*VLOOKUP($H366,食材表!$A:E,5,FALSE),0)+IFERROR($I367*VLOOKUP($H367,食材表!$A:E,5,FALSE),0)+IFERROR($K365*VLOOKUP($J365,食材表!$A:E,5,FALSE),0)+IFERROR($K366*VLOOKUP($J366,食材表!$A:E,5,FALSE),0)+IFERROR($K367*VLOOKUP($J367,食材表!$A:E,5,FALSE),0)</f>
        <v>0</v>
      </c>
      <c r="O365" s="342">
        <f>IFERROR($I365*VLOOKUP($H365,食材表!$A:F,6,FALSE),0)+IFERROR($I366*VLOOKUP($H366,食材表!$A:F,6,FALSE),0)+IFERROR($I367*VLOOKUP($H367,食材表!$A:F,6,FALSE),0)+IFERROR($K365*VLOOKUP($J365,食材表!$A:F,6,FALSE),0)+IFERROR($K366*VLOOKUP($J366,食材表!$A:F,6,FALSE),0)+IFERROR($K367*VLOOKUP($J367,食材表!$A:F,6,FALSE),0)</f>
        <v>0.22</v>
      </c>
      <c r="P365" s="342">
        <f>IFERROR($I365*VLOOKUP($H365,食材表!$A:G,7,FALSE),0)+IFERROR($I366*VLOOKUP($H366,食材表!$A:G,7,FALSE),0)+IFERROR($I367*VLOOKUP($H367,食材表!$A:G,7,FALSE),0)+IFERROR($K365*VLOOKUP($J365,食材表!$A:G,7,FALSE),0)+IFERROR($K366*VLOOKUP($J366,食材表!$A:G,7,FALSE),0)+IFERROR($K367*VLOOKUP($J367,食材表!$A:G,7,FALSE),0)</f>
        <v>0</v>
      </c>
      <c r="Q365" s="342">
        <f>IFERROR($I365*VLOOKUP($H365,食材表!$A:H,8,FALSE),0)+IFERROR($I366*VLOOKUP($H366,食材表!$A:H,8,FALSE),0)+IFERROR($I367*VLOOKUP($H367,食材表!$A:H,8,FALSE),0)+IFERROR($K365*VLOOKUP($J365,食材表!$A:H,8,FALSE),0)+IFERROR($K366*VLOOKUP($J366,食材表!$A:H,8,FALSE),0)+IFERROR($K367*VLOOKUP($J367,食材表!$A:H,8,FALSE),0)</f>
        <v>0</v>
      </c>
      <c r="R365" s="342">
        <f>IFERROR($I365*VLOOKUP($H365,食材表!$A:I,9,FALSE),0)+IFERROR($I366*VLOOKUP($H366,食材表!$A:I,9,FALSE),0)+IFERROR($I367*VLOOKUP($H367,食材表!$A:I,9,FALSE),0)+IFERROR($K365*VLOOKUP($J365,食材表!$A:I,9,FALSE),0)+IFERROR($K366*VLOOKUP($J366,食材表!$A:I,9,FALSE),0)+IFERROR($K367*VLOOKUP($J367,食材表!$A:I,9,FALSE),0)</f>
        <v>0</v>
      </c>
      <c r="S365" s="342">
        <f>SUM(L365*70+M365*75+N365*120+O365*25+P365*60+Q365*45+R365*4)</f>
        <v>143.83333333333334</v>
      </c>
    </row>
    <row r="366" spans="1:19">
      <c r="A366" s="33" t="str">
        <f>"2"&amp;+$B365</f>
        <v>2魚丸冬粉湯</v>
      </c>
      <c r="B366" s="350"/>
      <c r="C366" s="22" t="s">
        <v>200</v>
      </c>
      <c r="D366" s="36">
        <v>1</v>
      </c>
      <c r="E366" s="22"/>
      <c r="F366" s="36"/>
      <c r="G366" s="353"/>
      <c r="H366" s="93" t="str">
        <f t="shared" ref="H366:H367" si="252">C366</f>
        <v>冬粉</v>
      </c>
      <c r="I366" s="86">
        <f>IFERROR(IF(LEN(D366)=LENB(D366),ROUND(LEFT(D366,2*LEN(D366)-LENB(D366))/$A$1,3),((ROUND(LEFT(D366,2*LEN(D366)-LENB(D366))/$A$1,3))*VLOOKUP(H366,食材表!$A:$B,2,FALSE))),"")</f>
        <v>0.02</v>
      </c>
      <c r="J366" s="93">
        <f t="shared" ref="J366:J367" si="253">E366</f>
        <v>0</v>
      </c>
      <c r="K366" s="86" t="str">
        <f>IFERROR(IF(LEN(F366)=LENB(F366),ROUND(LEFT(F366,2*LEN(F366)-LENB(F366))/$A$1,3),((ROUND(LEFT(F366,2*LEN(F366)-LENB(F366))/$A$1,3))*VLOOKUP(J366,食材表!$A:$B,2,FALSE))),"")</f>
        <v/>
      </c>
      <c r="L366" s="343"/>
      <c r="M366" s="343"/>
      <c r="N366" s="343"/>
      <c r="O366" s="343"/>
      <c r="P366" s="343"/>
      <c r="Q366" s="343"/>
      <c r="R366" s="343"/>
      <c r="S366" s="343"/>
    </row>
    <row r="367" spans="1:19">
      <c r="A367" s="33" t="str">
        <f>"3"&amp;+$B365</f>
        <v>3魚丸冬粉湯</v>
      </c>
      <c r="B367" s="351"/>
      <c r="C367" s="26" t="s">
        <v>169</v>
      </c>
      <c r="D367" s="37">
        <v>0.3</v>
      </c>
      <c r="E367" s="26"/>
      <c r="F367" s="37"/>
      <c r="G367" s="354"/>
      <c r="H367" s="92" t="str">
        <f t="shared" si="252"/>
        <v>芹菜</v>
      </c>
      <c r="I367" s="84">
        <f>IFERROR(IF(LEN(D367)=LENB(D367),ROUND(LEFT(D367,2*LEN(D367)-LENB(D367))/$A$1,3),((ROUND(LEFT(D367,2*LEN(D367)-LENB(D367))/$A$1,3))*VLOOKUP(H367,食材表!$A:$B,2,FALSE))),"")</f>
        <v>6.0000000000000001E-3</v>
      </c>
      <c r="J367" s="92">
        <f t="shared" si="253"/>
        <v>0</v>
      </c>
      <c r="K367" s="85" t="str">
        <f>IFERROR(IF(LEN(F367)=LENB(F367),ROUND(LEFT(F367,2*LEN(F367)-LENB(F367))/$A$1,3),((ROUND(LEFT(F367,2*LEN(F367)-LENB(F367))/$A$1,3))*VLOOKUP(J367,食材表!$A:$B,2,FALSE))),"")</f>
        <v/>
      </c>
      <c r="L367" s="344"/>
      <c r="M367" s="344"/>
      <c r="N367" s="344"/>
      <c r="O367" s="344"/>
      <c r="P367" s="344"/>
      <c r="Q367" s="344"/>
      <c r="R367" s="344"/>
      <c r="S367" s="344"/>
    </row>
    <row r="368" spans="1:19">
      <c r="A368" s="33" t="str">
        <f>"1"&amp;+$B368</f>
        <v>1鍋燒麵</v>
      </c>
      <c r="B368" s="355" t="s">
        <v>1075</v>
      </c>
      <c r="C368" s="55" t="s">
        <v>368</v>
      </c>
      <c r="D368" s="56">
        <v>3</v>
      </c>
      <c r="E368" s="55" t="s">
        <v>369</v>
      </c>
      <c r="F368" s="33">
        <v>0.6</v>
      </c>
      <c r="G368" s="352" t="str">
        <f t="shared" ref="G368" si="254">B368</f>
        <v>鍋燒麵</v>
      </c>
      <c r="H368" s="91" t="str">
        <f t="shared" ref="H368:H380" si="255">C368</f>
        <v>粗烏龍麵</v>
      </c>
      <c r="I368" s="83">
        <f>IFERROR(IF(LEN(D368)=LENB(D368),ROUND(LEFT(D368,2*LEN(D368)-LENB(D368))/$A$1,3),((ROUND(LEFT(D368,2*LEN(D368)-LENB(D368))/$A$1,3))*VLOOKUP(H368,食材表!$A:$B,2,FALSE))),"")</f>
        <v>0.06</v>
      </c>
      <c r="J368" s="91" t="str">
        <f t="shared" ref="J368:J380" si="256">E368</f>
        <v>竹輪</v>
      </c>
      <c r="K368" s="83">
        <f>IFERROR(IF(LEN(F368)=LENB(F368),ROUND(LEFT(F368,2*LEN(F368)-LENB(F368))/$A$1,3),((ROUND(LEFT(F368,2*LEN(F368)-LENB(F368))/$A$1,3))*VLOOKUP(J368,食材表!$A:$B,2,FALSE))),"")</f>
        <v>1.2E-2</v>
      </c>
      <c r="L368" s="342">
        <f>IFERROR($I368*VLOOKUP($H368,食材表!$A:C,3,FALSE),0)+IFERROR($I369*VLOOKUP($H369,食材表!$A:C,3,FALSE),0)+IFERROR($I370*VLOOKUP($H370,食材表!$A:C,3,FALSE),0)+IFERROR($K368*VLOOKUP($J368,食材表!$A:C,3,FALSE),0)+IFERROR($K369*VLOOKUP($J369,食材表!$A:C,3,FALSE),0)+IFERROR($K370*VLOOKUP($J370,食材表!$A:C,3,FALSE),0)</f>
        <v>1</v>
      </c>
      <c r="M368" s="342">
        <f>IFERROR($I368*VLOOKUP($H368,食材表!$A:D,4,FALSE),0)+IFERROR($I369*VLOOKUP($H369,食材表!$A:D,4,FALSE),0)+IFERROR($I370*VLOOKUP($H370,食材表!$A:D,4,FALSE),0)+IFERROR($K368*VLOOKUP($J368,食材表!$A:D,4,FALSE),0)+IFERROR($K369*VLOOKUP($J369,食材表!$A:D,4,FALSE),0)+IFERROR($K370*VLOOKUP($J370,食材表!$A:D,4,FALSE),0)</f>
        <v>0.5714285714285714</v>
      </c>
      <c r="N368" s="342">
        <f>IFERROR($I368*VLOOKUP($H368,食材表!$A:E,5,FALSE),0)+IFERROR($I369*VLOOKUP($H369,食材表!$A:E,5,FALSE),0)+IFERROR($I370*VLOOKUP($H370,食材表!$A:E,5,FALSE),0)+IFERROR($K368*VLOOKUP($J368,食材表!$A:E,5,FALSE),0)+IFERROR($K369*VLOOKUP($J369,食材表!$A:E,5,FALSE),0)+IFERROR($K370*VLOOKUP($J370,食材表!$A:E,5,FALSE),0)</f>
        <v>0</v>
      </c>
      <c r="O368" s="342">
        <f>IFERROR($I368*VLOOKUP($H368,食材表!$A:F,6,FALSE),0)+IFERROR($I369*VLOOKUP($H369,食材表!$A:F,6,FALSE),0)+IFERROR($I370*VLOOKUP($H370,食材表!$A:F,6,FALSE),0)+IFERROR($K368*VLOOKUP($J368,食材表!$A:F,6,FALSE),0)+IFERROR($K369*VLOOKUP($J369,食材表!$A:F,6,FALSE),0)+IFERROR($K370*VLOOKUP($J370,食材表!$A:F,6,FALSE),0)</f>
        <v>0.16</v>
      </c>
      <c r="P368" s="342">
        <f>IFERROR($I368*VLOOKUP($H368,食材表!$A:G,7,FALSE),0)+IFERROR($I369*VLOOKUP($H369,食材表!$A:G,7,FALSE),0)+IFERROR($I370*VLOOKUP($H370,食材表!$A:G,7,FALSE),0)+IFERROR($K368*VLOOKUP($J368,食材表!$A:G,7,FALSE),0)+IFERROR($K369*VLOOKUP($J369,食材表!$A:G,7,FALSE),0)+IFERROR($K370*VLOOKUP($J370,食材表!$A:G,7,FALSE),0)</f>
        <v>0</v>
      </c>
      <c r="Q368" s="342">
        <f>IFERROR($I368*VLOOKUP($H368,食材表!$A:H,8,FALSE),0)+IFERROR($I369*VLOOKUP($H369,食材表!$A:H,8,FALSE),0)+IFERROR($I370*VLOOKUP($H370,食材表!$A:H,8,FALSE),0)+IFERROR($K368*VLOOKUP($J368,食材表!$A:H,8,FALSE),0)+IFERROR($K369*VLOOKUP($J369,食材表!$A:H,8,FALSE),0)+IFERROR($K370*VLOOKUP($J370,食材表!$A:H,8,FALSE),0)</f>
        <v>0</v>
      </c>
      <c r="R368" s="342">
        <f>IFERROR($I368*VLOOKUP($H368,食材表!$A:I,9,FALSE),0)+IFERROR($I369*VLOOKUP($H369,食材表!$A:I,9,FALSE),0)+IFERROR($I370*VLOOKUP($H370,食材表!$A:I,9,FALSE),0)+IFERROR($K368*VLOOKUP($J368,食材表!$A:I,9,FALSE),0)+IFERROR($K369*VLOOKUP($J369,食材表!$A:I,9,FALSE),0)+IFERROR($K370*VLOOKUP($J370,食材表!$A:I,9,FALSE),0)</f>
        <v>0</v>
      </c>
      <c r="S368" s="342">
        <f t="shared" ref="S368" si="257">SUM(L368*70+M368*75+N368*120+O368*25+P368*60+Q368*45+R368*4)</f>
        <v>116.85714285714286</v>
      </c>
    </row>
    <row r="369" spans="1:19">
      <c r="A369" s="33" t="str">
        <f>"2"&amp;+$B368</f>
        <v>2鍋燒麵</v>
      </c>
      <c r="B369" s="356"/>
      <c r="C369" s="31" t="s">
        <v>47</v>
      </c>
      <c r="D369" s="33">
        <v>0.6</v>
      </c>
      <c r="E369" s="31" t="s">
        <v>165</v>
      </c>
      <c r="F369" s="33">
        <v>0.6</v>
      </c>
      <c r="G369" s="353"/>
      <c r="H369" s="93" t="str">
        <f t="shared" si="255"/>
        <v>豬肉絲</v>
      </c>
      <c r="I369" s="86">
        <f>IFERROR(IF(LEN(D369)=LENB(D369),ROUND(LEFT(D369,2*LEN(D369)-LENB(D369))/$A$1,3),((ROUND(LEFT(D369,2*LEN(D369)-LENB(D369))/$A$1,3))*VLOOKUP(H369,食材表!$A:$B,2,FALSE))),"")</f>
        <v>1.2E-2</v>
      </c>
      <c r="J369" s="93" t="str">
        <f t="shared" si="256"/>
        <v>小白菜</v>
      </c>
      <c r="K369" s="86">
        <f>IFERROR(IF(LEN(F369)=LENB(F369),ROUND(LEFT(F369,2*LEN(F369)-LENB(F369))/$A$1,3),((ROUND(LEFT(F369,2*LEN(F369)-LENB(F369))/$A$1,3))*VLOOKUP(J369,食材表!$A:$B,2,FALSE))),"")</f>
        <v>1.2E-2</v>
      </c>
      <c r="L369" s="343"/>
      <c r="M369" s="343"/>
      <c r="N369" s="343"/>
      <c r="O369" s="343"/>
      <c r="P369" s="343"/>
      <c r="Q369" s="343"/>
      <c r="R369" s="343"/>
      <c r="S369" s="343"/>
    </row>
    <row r="370" spans="1:19">
      <c r="A370" s="33" t="str">
        <f>"3"&amp;+$B368</f>
        <v>3鍋燒麵</v>
      </c>
      <c r="B370" s="357"/>
      <c r="C370" s="28" t="s">
        <v>84</v>
      </c>
      <c r="D370" s="8">
        <v>0.2</v>
      </c>
      <c r="E370" s="28" t="s">
        <v>75</v>
      </c>
      <c r="F370" s="8">
        <v>0.2</v>
      </c>
      <c r="G370" s="354"/>
      <c r="H370" s="92" t="str">
        <f t="shared" si="255"/>
        <v>魚板</v>
      </c>
      <c r="I370" s="84">
        <f>IFERROR(IF(LEN(D370)=LENB(D370),ROUND(LEFT(D370,2*LEN(D370)-LENB(D370))/$A$1,3),((ROUND(LEFT(D370,2*LEN(D370)-LENB(D370))/$A$1,3))*VLOOKUP(H370,食材表!$A:$B,2,FALSE))),"")</f>
        <v>4.0000000000000001E-3</v>
      </c>
      <c r="J370" s="92" t="str">
        <f t="shared" si="256"/>
        <v>紅蘿蔔</v>
      </c>
      <c r="K370" s="85">
        <f>IFERROR(IF(LEN(F370)=LENB(F370),ROUND(LEFT(F370,2*LEN(F370)-LENB(F370))/$A$1,3),((ROUND(LEFT(F370,2*LEN(F370)-LENB(F370))/$A$1,3))*VLOOKUP(J370,食材表!$A:$B,2,FALSE))),"")</f>
        <v>4.0000000000000001E-3</v>
      </c>
      <c r="L370" s="344"/>
      <c r="M370" s="344"/>
      <c r="N370" s="344"/>
      <c r="O370" s="344"/>
      <c r="P370" s="344"/>
      <c r="Q370" s="344"/>
      <c r="R370" s="344"/>
      <c r="S370" s="344"/>
    </row>
    <row r="371" spans="1:19">
      <c r="A371" s="33" t="str">
        <f>"1"&amp;+$B371</f>
        <v>1雞絲麵</v>
      </c>
      <c r="B371" s="355" t="s">
        <v>377</v>
      </c>
      <c r="C371" s="57" t="s">
        <v>377</v>
      </c>
      <c r="D371" s="56" t="s">
        <v>960</v>
      </c>
      <c r="E371" s="55" t="s">
        <v>378</v>
      </c>
      <c r="F371" s="40">
        <v>0.2</v>
      </c>
      <c r="G371" s="352" t="str">
        <f t="shared" ref="G371" si="258">B371</f>
        <v>雞絲麵</v>
      </c>
      <c r="H371" s="91" t="str">
        <f t="shared" si="255"/>
        <v>雞絲麵</v>
      </c>
      <c r="I371" s="83">
        <f>IFERROR(IF(LEN(D371)=LENB(D371),ROUND(LEFT(D371,2*LEN(D371)-LENB(D371))/$A$1,3),((ROUND(LEFT(D371,2*LEN(D371)-LENB(D371))/$A$1,3))*VLOOKUP(H371,食材表!$A:$B,2,FALSE))),"")</f>
        <v>2.2000000000000002E-2</v>
      </c>
      <c r="J371" s="91" t="str">
        <f t="shared" si="256"/>
        <v>黑木耳</v>
      </c>
      <c r="K371" s="83">
        <f>IFERROR(IF(LEN(F371)=LENB(F371),ROUND(LEFT(F371,2*LEN(F371)-LENB(F371))/$A$1,3),((ROUND(LEFT(F371,2*LEN(F371)-LENB(F371))/$A$1,3))*VLOOKUP(J371,食材表!$A:$B,2,FALSE))),"")</f>
        <v>4.0000000000000001E-3</v>
      </c>
      <c r="L371" s="342">
        <f>IFERROR($I371*VLOOKUP($H371,食材表!$A:C,3,FALSE),0)+IFERROR($I372*VLOOKUP($H372,食材表!$A:C,3,FALSE),0)+IFERROR($I373*VLOOKUP($H373,食材表!$A:C,3,FALSE),0)+IFERROR($K371*VLOOKUP($J371,食材表!$A:C,3,FALSE),0)+IFERROR($K372*VLOOKUP($J372,食材表!$A:C,3,FALSE),0)+IFERROR($K373*VLOOKUP($J373,食材表!$A:C,3,FALSE),0)</f>
        <v>0.88000000000000012</v>
      </c>
      <c r="M371" s="342">
        <f>IFERROR($I371*VLOOKUP($H371,食材表!$A:D,4,FALSE),0)+IFERROR($I372*VLOOKUP($H372,食材表!$A:D,4,FALSE),0)+IFERROR($I373*VLOOKUP($H373,食材表!$A:D,4,FALSE),0)+IFERROR($K371*VLOOKUP($J371,食材表!$A:D,4,FALSE),0)+IFERROR($K372*VLOOKUP($J372,食材表!$A:D,4,FALSE),0)+IFERROR($K373*VLOOKUP($J373,食材表!$A:D,4,FALSE),0)</f>
        <v>0.32</v>
      </c>
      <c r="N371" s="342">
        <f>IFERROR($I371*VLOOKUP($H371,食材表!$A:E,5,FALSE),0)+IFERROR($I372*VLOOKUP($H372,食材表!$A:E,5,FALSE),0)+IFERROR($I373*VLOOKUP($H373,食材表!$A:E,5,FALSE),0)+IFERROR($K371*VLOOKUP($J371,食材表!$A:E,5,FALSE),0)+IFERROR($K372*VLOOKUP($J372,食材表!$A:E,5,FALSE),0)+IFERROR($K373*VLOOKUP($J373,食材表!$A:E,5,FALSE),0)</f>
        <v>0</v>
      </c>
      <c r="O371" s="342">
        <f>IFERROR($I371*VLOOKUP($H371,食材表!$A:F,6,FALSE),0)+IFERROR($I372*VLOOKUP($H372,食材表!$A:F,6,FALSE),0)+IFERROR($I373*VLOOKUP($H373,食材表!$A:F,6,FALSE),0)+IFERROR($K371*VLOOKUP($J371,食材表!$A:F,6,FALSE),0)+IFERROR($K372*VLOOKUP($J372,食材表!$A:F,6,FALSE),0)+IFERROR($K373*VLOOKUP($J373,食材表!$A:F,6,FALSE),0)</f>
        <v>0.24000000000000002</v>
      </c>
      <c r="P371" s="342">
        <f>IFERROR($I371*VLOOKUP($H371,食材表!$A:G,7,FALSE),0)+IFERROR($I372*VLOOKUP($H372,食材表!$A:G,7,FALSE),0)+IFERROR($I373*VLOOKUP($H373,食材表!$A:G,7,FALSE),0)+IFERROR($K371*VLOOKUP($J371,食材表!$A:G,7,FALSE),0)+IFERROR($K372*VLOOKUP($J372,食材表!$A:G,7,FALSE),0)+IFERROR($K373*VLOOKUP($J373,食材表!$A:G,7,FALSE),0)</f>
        <v>0</v>
      </c>
      <c r="Q371" s="342">
        <f>IFERROR($I371*VLOOKUP($H371,食材表!$A:H,8,FALSE),0)+IFERROR($I372*VLOOKUP($H372,食材表!$A:H,8,FALSE),0)+IFERROR($I373*VLOOKUP($H373,食材表!$A:H,8,FALSE),0)+IFERROR($K371*VLOOKUP($J371,食材表!$A:H,8,FALSE),0)+IFERROR($K372*VLOOKUP($J372,食材表!$A:H,8,FALSE),0)+IFERROR($K373*VLOOKUP($J373,食材表!$A:H,8,FALSE),0)</f>
        <v>0</v>
      </c>
      <c r="R371" s="342">
        <f>IFERROR($I371*VLOOKUP($H371,食材表!$A:I,9,FALSE),0)+IFERROR($I372*VLOOKUP($H372,食材表!$A:I,9,FALSE),0)+IFERROR($I373*VLOOKUP($H373,食材表!$A:I,9,FALSE),0)+IFERROR($K371*VLOOKUP($J371,食材表!$A:I,9,FALSE),0)+IFERROR($K372*VLOOKUP($J372,食材表!$A:I,9,FALSE),0)+IFERROR($K373*VLOOKUP($J373,食材表!$A:I,9,FALSE),0)</f>
        <v>0</v>
      </c>
      <c r="S371" s="342">
        <f t="shared" ref="S371" si="259">SUM(L371*70+M371*75+N371*120+O371*25+P371*60+Q371*45+R371*4)</f>
        <v>91.600000000000009</v>
      </c>
    </row>
    <row r="372" spans="1:19">
      <c r="A372" s="33" t="str">
        <f>"2"&amp;+$B371</f>
        <v>2雞絲麵</v>
      </c>
      <c r="B372" s="356"/>
      <c r="C372" s="35" t="s">
        <v>379</v>
      </c>
      <c r="D372" s="40">
        <v>0.8</v>
      </c>
      <c r="E372" s="31" t="s">
        <v>75</v>
      </c>
      <c r="F372" s="33">
        <v>0.2</v>
      </c>
      <c r="G372" s="353"/>
      <c r="H372" s="93" t="str">
        <f t="shared" si="255"/>
        <v>貢丸</v>
      </c>
      <c r="I372" s="86">
        <f>IFERROR(IF(LEN(D372)=LENB(D372),ROUND(LEFT(D372,2*LEN(D372)-LENB(D372))/$A$1,3),((ROUND(LEFT(D372,2*LEN(D372)-LENB(D372))/$A$1,3))*VLOOKUP(H372,食材表!$A:$B,2,FALSE))),"")</f>
        <v>1.6E-2</v>
      </c>
      <c r="J372" s="93" t="str">
        <f t="shared" si="256"/>
        <v>紅蘿蔔</v>
      </c>
      <c r="K372" s="86">
        <f>IFERROR(IF(LEN(F372)=LENB(F372),ROUND(LEFT(F372,2*LEN(F372)-LENB(F372))/$A$1,3),((ROUND(LEFT(F372,2*LEN(F372)-LENB(F372))/$A$1,3))*VLOOKUP(J372,食材表!$A:$B,2,FALSE))),"")</f>
        <v>4.0000000000000001E-3</v>
      </c>
      <c r="L372" s="343"/>
      <c r="M372" s="343"/>
      <c r="N372" s="343"/>
      <c r="O372" s="343"/>
      <c r="P372" s="343"/>
      <c r="Q372" s="343"/>
      <c r="R372" s="343"/>
      <c r="S372" s="343"/>
    </row>
    <row r="373" spans="1:19">
      <c r="A373" s="33" t="str">
        <f>"3"&amp;+$B371</f>
        <v>3雞絲麵</v>
      </c>
      <c r="B373" s="357"/>
      <c r="C373" s="28" t="s">
        <v>239</v>
      </c>
      <c r="D373" s="8">
        <v>0.8</v>
      </c>
      <c r="E373" s="28"/>
      <c r="F373" s="8"/>
      <c r="G373" s="354"/>
      <c r="H373" s="92" t="str">
        <f t="shared" si="255"/>
        <v>小白菜</v>
      </c>
      <c r="I373" s="84">
        <f>IFERROR(IF(LEN(D373)=LENB(D373),ROUND(LEFT(D373,2*LEN(D373)-LENB(D373))/$A$1,3),((ROUND(LEFT(D373,2*LEN(D373)-LENB(D373))/$A$1,3))*VLOOKUP(H373,食材表!$A:$B,2,FALSE))),"")</f>
        <v>1.6E-2</v>
      </c>
      <c r="J373" s="92">
        <f t="shared" si="256"/>
        <v>0</v>
      </c>
      <c r="K373" s="85" t="str">
        <f>IFERROR(IF(LEN(F373)=LENB(F373),ROUND(LEFT(F373,2*LEN(F373)-LENB(F373))/$A$1,3),((ROUND(LEFT(F373,2*LEN(F373)-LENB(F373))/$A$1,3))*VLOOKUP(J373,食材表!$A:$B,2,FALSE))),"")</f>
        <v/>
      </c>
      <c r="L373" s="344"/>
      <c r="M373" s="344"/>
      <c r="N373" s="344"/>
      <c r="O373" s="344"/>
      <c r="P373" s="344"/>
      <c r="Q373" s="344"/>
      <c r="R373" s="344"/>
      <c r="S373" s="344"/>
    </row>
    <row r="374" spans="1:19">
      <c r="A374" s="33" t="str">
        <f>"1"&amp;+$B374</f>
        <v>1雞絲湯麵</v>
      </c>
      <c r="B374" s="349" t="s">
        <v>1086</v>
      </c>
      <c r="C374" s="60" t="s">
        <v>1087</v>
      </c>
      <c r="D374" s="59">
        <v>0.6</v>
      </c>
      <c r="E374" s="60" t="s">
        <v>160</v>
      </c>
      <c r="F374" s="59" t="s">
        <v>958</v>
      </c>
      <c r="G374" s="352" t="str">
        <f t="shared" ref="G374" si="260">B374</f>
        <v>雞絲湯麵</v>
      </c>
      <c r="H374" s="91" t="str">
        <f t="shared" si="255"/>
        <v>雞胸肉</v>
      </c>
      <c r="I374" s="83">
        <f>IFERROR(IF(LEN(D374)=LENB(D374),ROUND(LEFT(D374,2*LEN(D374)-LENB(D374))/$A$1,3),((ROUND(LEFT(D374,2*LEN(D374)-LENB(D374))/$A$1,3))*VLOOKUP(H374,食材表!$A:$B,2,FALSE))),"")</f>
        <v>1.2E-2</v>
      </c>
      <c r="J374" s="91" t="str">
        <f t="shared" si="256"/>
        <v>胡蘿蔔</v>
      </c>
      <c r="K374" s="83">
        <f>IFERROR(IF(LEN(F374)=LENB(F374),ROUND(LEFT(F374,2*LEN(F374)-LENB(F374))/$A$1,3),((ROUND(LEFT(F374,2*LEN(F374)-LENB(F374))/$A$1,3))*VLOOKUP(J374,食材表!$A:$B,2,FALSE))),"")</f>
        <v>5.0000000000000001E-3</v>
      </c>
      <c r="L374" s="342">
        <f>IFERROR($I374*VLOOKUP($H374,食材表!$A:C,3,FALSE),0)+IFERROR($I375*VLOOKUP($H375,食材表!$A:C,3,FALSE),0)+IFERROR($I376*VLOOKUP($H376,食材表!$A:C,3,FALSE),0)+IFERROR($K374*VLOOKUP($J374,食材表!$A:C,3,FALSE),0)+IFERROR($K375*VLOOKUP($J375,食材表!$A:C,3,FALSE),0)+IFERROR($K376*VLOOKUP($J376,食材表!$A:C,3,FALSE),0)</f>
        <v>1.4000000000000001</v>
      </c>
      <c r="M374" s="342">
        <f>IFERROR($I374*VLOOKUP($H374,食材表!$A:D,4,FALSE),0)+IFERROR($I375*VLOOKUP($H375,食材表!$A:D,4,FALSE),0)+IFERROR($I376*VLOOKUP($H376,食材表!$A:D,4,FALSE),0)+IFERROR($K374*VLOOKUP($J374,食材表!$A:D,4,FALSE),0)+IFERROR($K375*VLOOKUP($J375,食材表!$A:D,4,FALSE),0)+IFERROR($K376*VLOOKUP($J376,食材表!$A:D,4,FALSE),0)</f>
        <v>0</v>
      </c>
      <c r="N374" s="342">
        <f>IFERROR($I374*VLOOKUP($H374,食材表!$A:E,5,FALSE),0)+IFERROR($I375*VLOOKUP($H375,食材表!$A:E,5,FALSE),0)+IFERROR($I376*VLOOKUP($H376,食材表!$A:E,5,FALSE),0)+IFERROR($K374*VLOOKUP($J374,食材表!$A:E,5,FALSE),0)+IFERROR($K375*VLOOKUP($J375,食材表!$A:E,5,FALSE),0)+IFERROR($K376*VLOOKUP($J376,食材表!$A:E,5,FALSE),0)</f>
        <v>0</v>
      </c>
      <c r="O374" s="342">
        <f>IFERROR($I374*VLOOKUP($H374,食材表!$A:F,6,FALSE),0)+IFERROR($I375*VLOOKUP($H375,食材表!$A:F,6,FALSE),0)+IFERROR($I376*VLOOKUP($H376,食材表!$A:F,6,FALSE),0)+IFERROR($K374*VLOOKUP($J374,食材表!$A:F,6,FALSE),0)+IFERROR($K375*VLOOKUP($J375,食材表!$A:F,6,FALSE),0)+IFERROR($K376*VLOOKUP($J376,食材表!$A:F,6,FALSE),0)</f>
        <v>0.25</v>
      </c>
      <c r="P374" s="342">
        <f>IFERROR($I374*VLOOKUP($H374,食材表!$A:G,7,FALSE),0)+IFERROR($I375*VLOOKUP($H375,食材表!$A:G,7,FALSE),0)+IFERROR($I376*VLOOKUP($H376,食材表!$A:G,7,FALSE),0)+IFERROR($K374*VLOOKUP($J374,食材表!$A:G,7,FALSE),0)+IFERROR($K375*VLOOKUP($J375,食材表!$A:G,7,FALSE),0)+IFERROR($K376*VLOOKUP($J376,食材表!$A:G,7,FALSE),0)</f>
        <v>0</v>
      </c>
      <c r="Q374" s="342">
        <f>IFERROR($I374*VLOOKUP($H374,食材表!$A:H,8,FALSE),0)+IFERROR($I375*VLOOKUP($H375,食材表!$A:H,8,FALSE),0)+IFERROR($I376*VLOOKUP($H376,食材表!$A:H,8,FALSE),0)+IFERROR($K374*VLOOKUP($J374,食材表!$A:H,8,FALSE),0)+IFERROR($K375*VLOOKUP($J375,食材表!$A:H,8,FALSE),0)+IFERROR($K376*VLOOKUP($J376,食材表!$A:H,8,FALSE),0)</f>
        <v>0</v>
      </c>
      <c r="R374" s="342">
        <f>IFERROR($I374*VLOOKUP($H374,食材表!$A:I,9,FALSE),0)+IFERROR($I375*VLOOKUP($H375,食材表!$A:I,9,FALSE),0)+IFERROR($I376*VLOOKUP($H376,食材表!$A:I,9,FALSE),0)+IFERROR($K374*VLOOKUP($J374,食材表!$A:I,9,FALSE),0)+IFERROR($K375*VLOOKUP($J375,食材表!$A:I,9,FALSE),0)+IFERROR($K376*VLOOKUP($J376,食材表!$A:I,9,FALSE),0)</f>
        <v>0</v>
      </c>
      <c r="S374" s="342">
        <f t="shared" ref="S374" si="261">SUM(L374*70+M374*75+N374*120+O374*25+P374*60+Q374*45+R374*4)</f>
        <v>104.25000000000001</v>
      </c>
    </row>
    <row r="375" spans="1:19">
      <c r="A375" s="33" t="str">
        <f>"2"&amp;+$B374</f>
        <v>2雞絲湯麵</v>
      </c>
      <c r="B375" s="383"/>
      <c r="C375" s="22" t="s">
        <v>164</v>
      </c>
      <c r="D375" s="36">
        <v>4.2</v>
      </c>
      <c r="E375" s="31" t="s">
        <v>83</v>
      </c>
      <c r="F375" s="33">
        <v>0.2</v>
      </c>
      <c r="G375" s="353"/>
      <c r="H375" s="93" t="str">
        <f t="shared" si="255"/>
        <v>細烏龍麵</v>
      </c>
      <c r="I375" s="86">
        <f>IFERROR(IF(LEN(D375)=LENB(D375),ROUND(LEFT(D375,2*LEN(D375)-LENB(D375))/$A$1,3),((ROUND(LEFT(D375,2*LEN(D375)-LENB(D375))/$A$1,3))*VLOOKUP(H375,食材表!$A:$B,2,FALSE))),"")</f>
        <v>8.4000000000000005E-2</v>
      </c>
      <c r="J375" s="93" t="str">
        <f t="shared" si="256"/>
        <v>木耳</v>
      </c>
      <c r="K375" s="86">
        <f>IFERROR(IF(LEN(F375)=LENB(F375),ROUND(LEFT(F375,2*LEN(F375)-LENB(F375))/$A$1,3),((ROUND(LEFT(F375,2*LEN(F375)-LENB(F375))/$A$1,3))*VLOOKUP(J375,食材表!$A:$B,2,FALSE))),"")</f>
        <v>4.0000000000000001E-3</v>
      </c>
      <c r="L375" s="343"/>
      <c r="M375" s="343"/>
      <c r="N375" s="343"/>
      <c r="O375" s="343"/>
      <c r="P375" s="343"/>
      <c r="Q375" s="343"/>
      <c r="R375" s="343"/>
      <c r="S375" s="343"/>
    </row>
    <row r="376" spans="1:19">
      <c r="A376" s="33" t="str">
        <f>"3"&amp;+$B374</f>
        <v>3雞絲湯麵</v>
      </c>
      <c r="B376" s="351"/>
      <c r="C376" s="28" t="s">
        <v>316</v>
      </c>
      <c r="D376" s="33">
        <v>0.2</v>
      </c>
      <c r="E376" s="26" t="s">
        <v>165</v>
      </c>
      <c r="F376" s="37">
        <v>0.6</v>
      </c>
      <c r="G376" s="354"/>
      <c r="H376" s="92" t="str">
        <f t="shared" si="255"/>
        <v>豆芽菜</v>
      </c>
      <c r="I376" s="84">
        <f>IFERROR(IF(LEN(D376)=LENB(D376),ROUND(LEFT(D376,2*LEN(D376)-LENB(D376))/$A$1,3),((ROUND(LEFT(D376,2*LEN(D376)-LENB(D376))/$A$1,3))*VLOOKUP(H376,食材表!$A:$B,2,FALSE))),"")</f>
        <v>4.0000000000000001E-3</v>
      </c>
      <c r="J376" s="92" t="str">
        <f t="shared" si="256"/>
        <v>小白菜</v>
      </c>
      <c r="K376" s="85">
        <f>IFERROR(IF(LEN(F376)=LENB(F376),ROUND(LEFT(F376,2*LEN(F376)-LENB(F376))/$A$1,3),((ROUND(LEFT(F376,2*LEN(F376)-LENB(F376))/$A$1,3))*VLOOKUP(J376,食材表!$A:$B,2,FALSE))),"")</f>
        <v>1.2E-2</v>
      </c>
      <c r="L376" s="344"/>
      <c r="M376" s="344"/>
      <c r="N376" s="344"/>
      <c r="O376" s="344"/>
      <c r="P376" s="344"/>
      <c r="Q376" s="344"/>
      <c r="R376" s="344"/>
      <c r="S376" s="344"/>
    </row>
    <row r="377" spans="1:19">
      <c r="A377" s="33" t="str">
        <f>"1"&amp;+$B377</f>
        <v>1油腐雞絲麵</v>
      </c>
      <c r="B377" s="355" t="s">
        <v>933</v>
      </c>
      <c r="C377" s="57" t="s">
        <v>934</v>
      </c>
      <c r="D377" s="56">
        <v>2</v>
      </c>
      <c r="E377" s="55" t="s">
        <v>285</v>
      </c>
      <c r="F377" s="40" t="s">
        <v>955</v>
      </c>
      <c r="G377" s="352" t="str">
        <f t="shared" ref="G377" si="262">B377</f>
        <v>油腐雞絲麵</v>
      </c>
      <c r="H377" s="91" t="str">
        <f t="shared" si="255"/>
        <v>油豆腐丁</v>
      </c>
      <c r="I377" s="83">
        <f>IFERROR(IF(LEN(D377)=LENB(D377),ROUND(LEFT(D377,2*LEN(D377)-LENB(D377))/$A$1,3),((ROUND(LEFT(D377,2*LEN(D377)-LENB(D377))/$A$1,3))*VLOOKUP(H377,食材表!$A:$B,2,FALSE))),"")</f>
        <v>0.04</v>
      </c>
      <c r="J377" s="91" t="str">
        <f t="shared" si="256"/>
        <v>油蔥酥</v>
      </c>
      <c r="K377" s="83">
        <f>IFERROR(IF(LEN(F377)=LENB(F377),ROUND(LEFT(F377,2*LEN(F377)-LENB(F377))/$A$1,3),((ROUND(LEFT(F377,2*LEN(F377)-LENB(F377))/$A$1,3))*VLOOKUP(J377,食材表!$A:$B,2,FALSE))),"")</f>
        <v>6.0000000000000001E-3</v>
      </c>
      <c r="L377" s="342">
        <f>IFERROR($I377*VLOOKUP($H377,食材表!$A:C,3,FALSE),0)+IFERROR($I378*VLOOKUP($H378,食材表!$A:C,3,FALSE),0)+IFERROR($I379*VLOOKUP($H379,食材表!$A:C,3,FALSE),0)+IFERROR($K377*VLOOKUP($J377,食材表!$A:C,3,FALSE),0)+IFERROR($K378*VLOOKUP($J378,食材表!$A:C,3,FALSE),0)+IFERROR($K379*VLOOKUP($J379,食材表!$A:C,3,FALSE),0)</f>
        <v>0.88000000000000012</v>
      </c>
      <c r="M377" s="342">
        <f>IFERROR($I377*VLOOKUP($H377,食材表!$A:D,4,FALSE),0)+IFERROR($I378*VLOOKUP($H378,食材表!$A:D,4,FALSE),0)+IFERROR($I379*VLOOKUP($H379,食材表!$A:D,4,FALSE),0)+IFERROR($K377*VLOOKUP($J377,食材表!$A:D,4,FALSE),0)+IFERROR($K378*VLOOKUP($J378,食材表!$A:D,4,FALSE),0)+IFERROR($K379*VLOOKUP($J379,食材表!$A:D,4,FALSE),0)</f>
        <v>0</v>
      </c>
      <c r="N377" s="342">
        <f>IFERROR($I377*VLOOKUP($H377,食材表!$A:E,5,FALSE),0)+IFERROR($I378*VLOOKUP($H378,食材表!$A:E,5,FALSE),0)+IFERROR($I379*VLOOKUP($H379,食材表!$A:E,5,FALSE),0)+IFERROR($K377*VLOOKUP($J377,食材表!$A:E,5,FALSE),0)+IFERROR($K378*VLOOKUP($J378,食材表!$A:E,5,FALSE),0)+IFERROR($K379*VLOOKUP($J379,食材表!$A:E,5,FALSE),0)</f>
        <v>0</v>
      </c>
      <c r="O377" s="342">
        <f>IFERROR($I377*VLOOKUP($H377,食材表!$A:F,6,FALSE),0)+IFERROR($I378*VLOOKUP($H378,食材表!$A:F,6,FALSE),0)+IFERROR($I379*VLOOKUP($H379,食材表!$A:F,6,FALSE),0)+IFERROR($K377*VLOOKUP($J377,食材表!$A:F,6,FALSE),0)+IFERROR($K378*VLOOKUP($J378,食材表!$A:F,6,FALSE),0)+IFERROR($K379*VLOOKUP($J379,食材表!$A:F,6,FALSE),0)</f>
        <v>0.35</v>
      </c>
      <c r="P377" s="342">
        <f>IFERROR($I377*VLOOKUP($H377,食材表!$A:G,7,FALSE),0)+IFERROR($I378*VLOOKUP($H378,食材表!$A:G,7,FALSE),0)+IFERROR($I379*VLOOKUP($H379,食材表!$A:G,7,FALSE),0)+IFERROR($K377*VLOOKUP($J377,食材表!$A:G,7,FALSE),0)+IFERROR($K378*VLOOKUP($J378,食材表!$A:G,7,FALSE),0)+IFERROR($K379*VLOOKUP($J379,食材表!$A:G,7,FALSE),0)</f>
        <v>0</v>
      </c>
      <c r="Q377" s="342">
        <f>IFERROR($I377*VLOOKUP($H377,食材表!$A:H,8,FALSE),0)+IFERROR($I378*VLOOKUP($H378,食材表!$A:H,8,FALSE),0)+IFERROR($I379*VLOOKUP($H379,食材表!$A:H,8,FALSE),0)+IFERROR($K377*VLOOKUP($J377,食材表!$A:H,8,FALSE),0)+IFERROR($K378*VLOOKUP($J378,食材表!$A:H,8,FALSE),0)+IFERROR($K379*VLOOKUP($J379,食材表!$A:H,8,FALSE),0)</f>
        <v>0</v>
      </c>
      <c r="R377" s="342">
        <f>IFERROR($I377*VLOOKUP($H377,食材表!$A:I,9,FALSE),0)+IFERROR($I378*VLOOKUP($H378,食材表!$A:I,9,FALSE),0)+IFERROR($I379*VLOOKUP($H379,食材表!$A:I,9,FALSE),0)+IFERROR($K377*VLOOKUP($J377,食材表!$A:I,9,FALSE),0)+IFERROR($K378*VLOOKUP($J378,食材表!$A:I,9,FALSE),0)+IFERROR($K379*VLOOKUP($J379,食材表!$A:I,9,FALSE),0)</f>
        <v>0</v>
      </c>
      <c r="S377" s="342">
        <f t="shared" ref="S377" si="263">SUM(L377*70+M377*75+N377*120+O377*25+P377*60+Q377*45+R377*4)</f>
        <v>70.350000000000009</v>
      </c>
    </row>
    <row r="378" spans="1:19">
      <c r="A378" s="33" t="str">
        <f>"2"&amp;+$B377</f>
        <v>2油腐雞絲麵</v>
      </c>
      <c r="B378" s="356"/>
      <c r="C378" s="35" t="s">
        <v>381</v>
      </c>
      <c r="D378" s="40" t="s">
        <v>960</v>
      </c>
      <c r="E378" s="31" t="s">
        <v>160</v>
      </c>
      <c r="F378" s="33" t="s">
        <v>958</v>
      </c>
      <c r="G378" s="353"/>
      <c r="H378" s="93" t="str">
        <f t="shared" si="255"/>
        <v>雞絲麵</v>
      </c>
      <c r="I378" s="86">
        <f>IFERROR(IF(LEN(D378)=LENB(D378),ROUND(LEFT(D378,2*LEN(D378)-LENB(D378))/$A$1,3),((ROUND(LEFT(D378,2*LEN(D378)-LENB(D378))/$A$1,3))*VLOOKUP(H378,食材表!$A:$B,2,FALSE))),"")</f>
        <v>2.2000000000000002E-2</v>
      </c>
      <c r="J378" s="93" t="str">
        <f t="shared" si="256"/>
        <v>胡蘿蔔</v>
      </c>
      <c r="K378" s="86">
        <f>IFERROR(IF(LEN(F378)=LENB(F378),ROUND(LEFT(F378,2*LEN(F378)-LENB(F378))/$A$1,3),((ROUND(LEFT(F378,2*LEN(F378)-LENB(F378))/$A$1,3))*VLOOKUP(J378,食材表!$A:$B,2,FALSE))),"")</f>
        <v>5.0000000000000001E-3</v>
      </c>
      <c r="L378" s="343"/>
      <c r="M378" s="343"/>
      <c r="N378" s="343"/>
      <c r="O378" s="343"/>
      <c r="P378" s="343"/>
      <c r="Q378" s="343"/>
      <c r="R378" s="343"/>
      <c r="S378" s="343"/>
    </row>
    <row r="379" spans="1:19">
      <c r="A379" s="33" t="str">
        <f>"3"&amp;+$B377</f>
        <v>3油腐雞絲麵</v>
      </c>
      <c r="B379" s="357"/>
      <c r="C379" s="28" t="s">
        <v>165</v>
      </c>
      <c r="D379" s="8">
        <v>1.5</v>
      </c>
      <c r="E379" s="28"/>
      <c r="F379" s="8"/>
      <c r="G379" s="354"/>
      <c r="H379" s="92" t="str">
        <f t="shared" si="255"/>
        <v>小白菜</v>
      </c>
      <c r="I379" s="84">
        <f>IFERROR(IF(LEN(D379)=LENB(D379),ROUND(LEFT(D379,2*LEN(D379)-LENB(D379))/$A$1,3),((ROUND(LEFT(D379,2*LEN(D379)-LENB(D379))/$A$1,3))*VLOOKUP(H379,食材表!$A:$B,2,FALSE))),"")</f>
        <v>0.03</v>
      </c>
      <c r="J379" s="92">
        <f t="shared" si="256"/>
        <v>0</v>
      </c>
      <c r="K379" s="85" t="str">
        <f>IFERROR(IF(LEN(F379)=LENB(F379),ROUND(LEFT(F379,2*LEN(F379)-LENB(F379))/$A$1,3),((ROUND(LEFT(F379,2*LEN(F379)-LENB(F379))/$A$1,3))*VLOOKUP(J379,食材表!$A:$B,2,FALSE))),"")</f>
        <v/>
      </c>
      <c r="L379" s="344"/>
      <c r="M379" s="344"/>
      <c r="N379" s="344"/>
      <c r="O379" s="344"/>
      <c r="P379" s="344"/>
      <c r="Q379" s="344"/>
      <c r="R379" s="344"/>
      <c r="S379" s="344"/>
    </row>
    <row r="380" spans="1:19">
      <c r="A380" s="33" t="str">
        <f>"1"&amp;+$B380</f>
        <v>1菇菇米粉湯</v>
      </c>
      <c r="B380" s="349" t="s">
        <v>959</v>
      </c>
      <c r="C380" s="60" t="s">
        <v>245</v>
      </c>
      <c r="D380" s="59" t="s">
        <v>960</v>
      </c>
      <c r="E380" s="60" t="s">
        <v>165</v>
      </c>
      <c r="F380" s="36">
        <v>0.6</v>
      </c>
      <c r="G380" s="384" t="str">
        <f>B380</f>
        <v>菇菇米粉湯</v>
      </c>
      <c r="H380" s="91" t="str">
        <f t="shared" si="255"/>
        <v>中粗米粉</v>
      </c>
      <c r="I380" s="83">
        <f>IFERROR(IF(LEN(D380)=LENB(D380),ROUND(LEFT(D380,2*LEN(D380)-LENB(D380))/$A$1,3),((ROUND(LEFT(D380,2*LEN(D380)-LENB(D380))/$A$1,3))*VLOOKUP(H380,食材表!$A:$B,2,FALSE))),"")</f>
        <v>0.08</v>
      </c>
      <c r="J380" s="91" t="str">
        <f t="shared" si="256"/>
        <v>小白菜</v>
      </c>
      <c r="K380" s="83">
        <f>IFERROR(IF(LEN(F380)=LENB(F380),ROUND(LEFT(F380,2*LEN(F380)-LENB(F380))/$A$1,3),((ROUND(LEFT(F380,2*LEN(F380)-LENB(F380))/$A$1,3))*VLOOKUP(J380,食材表!$A:$B,2,FALSE))),"")</f>
        <v>1.2E-2</v>
      </c>
      <c r="L380" s="342">
        <f>IFERROR($I380*VLOOKUP($H380,食材表!$A:C,3,FALSE),0)+IFERROR($I381*VLOOKUP($H381,食材表!$A:C,3,FALSE),0)+IFERROR($I382*VLOOKUP($H382,食材表!$A:C,3,FALSE),0)+IFERROR($K380*VLOOKUP($J380,食材表!$A:C,3,FALSE),0)+IFERROR($K381*VLOOKUP($J381,食材表!$A:C,3,FALSE),0)+IFERROR($K382*VLOOKUP($J382,食材表!$A:C,3,FALSE),0)</f>
        <v>1.28</v>
      </c>
      <c r="M380" s="342">
        <f>IFERROR($I380*VLOOKUP($H380,食材表!$A:D,4,FALSE),0)+IFERROR($I381*VLOOKUP($H381,食材表!$A:D,4,FALSE),0)+IFERROR($I382*VLOOKUP($H382,食材表!$A:D,4,FALSE),0)+IFERROR($K380*VLOOKUP($J380,食材表!$A:D,4,FALSE),0)+IFERROR($K381*VLOOKUP($J381,食材表!$A:D,4,FALSE),0)+IFERROR($K382*VLOOKUP($J382,食材表!$A:D,4,FALSE),0)</f>
        <v>0.34285714285714286</v>
      </c>
      <c r="N380" s="342">
        <f>IFERROR($I380*VLOOKUP($H380,食材表!$A:E,5,FALSE),0)+IFERROR($I381*VLOOKUP($H381,食材表!$A:E,5,FALSE),0)+IFERROR($I382*VLOOKUP($H382,食材表!$A:E,5,FALSE),0)+IFERROR($K380*VLOOKUP($J380,食材表!$A:E,5,FALSE),0)+IFERROR($K381*VLOOKUP($J381,食材表!$A:E,5,FALSE),0)+IFERROR($K382*VLOOKUP($J382,食材表!$A:E,5,FALSE),0)</f>
        <v>0</v>
      </c>
      <c r="O380" s="342">
        <f>IFERROR($I380*VLOOKUP($H380,食材表!$A:F,6,FALSE),0)+IFERROR($I381*VLOOKUP($H381,食材表!$A:F,6,FALSE),0)+IFERROR($I382*VLOOKUP($H382,食材表!$A:F,6,FALSE),0)+IFERROR($K380*VLOOKUP($J380,食材表!$A:F,6,FALSE),0)+IFERROR($K381*VLOOKUP($J381,食材表!$A:F,6,FALSE),0)+IFERROR($K382*VLOOKUP($J382,食材表!$A:F,6,FALSE),0)</f>
        <v>0.16</v>
      </c>
      <c r="P380" s="342">
        <f>IFERROR($I380*VLOOKUP($H380,食材表!$A:G,7,FALSE),0)+IFERROR($I381*VLOOKUP($H381,食材表!$A:G,7,FALSE),0)+IFERROR($I382*VLOOKUP($H382,食材表!$A:G,7,FALSE),0)+IFERROR($K380*VLOOKUP($J380,食材表!$A:G,7,FALSE),0)+IFERROR($K381*VLOOKUP($J381,食材表!$A:G,7,FALSE),0)+IFERROR($K382*VLOOKUP($J382,食材表!$A:G,7,FALSE),0)</f>
        <v>0</v>
      </c>
      <c r="Q380" s="342">
        <f>IFERROR($I380*VLOOKUP($H380,食材表!$A:H,8,FALSE),0)+IFERROR($I381*VLOOKUP($H381,食材表!$A:H,8,FALSE),0)+IFERROR($I382*VLOOKUP($H382,食材表!$A:H,8,FALSE),0)+IFERROR($K380*VLOOKUP($J380,食材表!$A:H,8,FALSE),0)+IFERROR($K381*VLOOKUP($J381,食材表!$A:H,8,FALSE),0)+IFERROR($K382*VLOOKUP($J382,食材表!$A:H,8,FALSE),0)</f>
        <v>0</v>
      </c>
      <c r="R380" s="342">
        <f>IFERROR($I380*VLOOKUP($H380,食材表!$A:I,9,FALSE),0)+IFERROR($I381*VLOOKUP($H381,食材表!$A:I,9,FALSE),0)+IFERROR($I382*VLOOKUP($H382,食材表!$A:I,9,FALSE),0)+IFERROR($K380*VLOOKUP($J380,食材表!$A:I,9,FALSE),0)+IFERROR($K381*VLOOKUP($J381,食材表!$A:I,9,FALSE),0)+IFERROR($K382*VLOOKUP($J382,食材表!$A:I,9,FALSE),0)</f>
        <v>0</v>
      </c>
      <c r="S380" s="342">
        <f>SUM(L380*70+M380*75+N380*120+O380*25+P380*60+Q380*45+R380*4)</f>
        <v>119.31428571428572</v>
      </c>
    </row>
    <row r="381" spans="1:19">
      <c r="A381" s="33" t="str">
        <f>"2"&amp;+$B380</f>
        <v>2菇菇米粉湯</v>
      </c>
      <c r="B381" s="350"/>
      <c r="C381" s="22" t="s">
        <v>205</v>
      </c>
      <c r="D381" s="36" t="s">
        <v>203</v>
      </c>
      <c r="E381" s="22" t="s">
        <v>83</v>
      </c>
      <c r="F381" s="36">
        <v>0.2</v>
      </c>
      <c r="G381" s="347"/>
      <c r="H381" s="93" t="str">
        <f t="shared" ref="H381:H382" si="264">C381</f>
        <v>鴻喜菇</v>
      </c>
      <c r="I381" s="86">
        <f>(2*IFERROR(MID(D381,FIND("2L*",D381)+3,1),0)+1*IFERROR(MID(D381,FIND("1L*",D381)+3,2),0))/$A$1</f>
        <v>0</v>
      </c>
      <c r="J381" s="93" t="str">
        <f t="shared" ref="J381:J382" si="265">E381</f>
        <v>木耳</v>
      </c>
      <c r="K381" s="86">
        <f>IFERROR(IF(LEN(F381)=LENB(F381),ROUND(LEFT(F381,2*LEN(F381)-LENB(F381))/$A$1,3),((ROUND(LEFT(F381,2*LEN(F381)-LENB(F381))/$A$1,3))*VLOOKUP(J381,食材表!$A:$B,2,FALSE))),"")</f>
        <v>4.0000000000000001E-3</v>
      </c>
      <c r="L381" s="343"/>
      <c r="M381" s="343"/>
      <c r="N381" s="343"/>
      <c r="O381" s="343"/>
      <c r="P381" s="343"/>
      <c r="Q381" s="343"/>
      <c r="R381" s="343"/>
      <c r="S381" s="343"/>
    </row>
    <row r="382" spans="1:19">
      <c r="A382" s="33" t="str">
        <f>"3"&amp;+$B380</f>
        <v>3菇菇米粉湯</v>
      </c>
      <c r="B382" s="351"/>
      <c r="C382" s="26" t="s">
        <v>961</v>
      </c>
      <c r="D382" s="37" t="s">
        <v>203</v>
      </c>
      <c r="E382" s="26" t="s">
        <v>47</v>
      </c>
      <c r="F382" s="37">
        <v>0.6</v>
      </c>
      <c r="G382" s="348"/>
      <c r="H382" s="92" t="str">
        <f t="shared" si="264"/>
        <v>雪白菇</v>
      </c>
      <c r="I382" s="84" t="str">
        <f>IFERROR(IF(LEN(D382)=LENB(D382),ROUND(LEFT(D382,2*LEN(D382)-LENB(D382))/$A$1,3),((ROUND(LEFT(D382,2*LEN(D382)-LENB(D382))/$A$1,3))*VLOOKUP(H382,食材表!$A:$B,2,FALSE))),"")</f>
        <v/>
      </c>
      <c r="J382" s="92" t="str">
        <f t="shared" si="265"/>
        <v>豬肉絲</v>
      </c>
      <c r="K382" s="85">
        <f>IFERROR(IF(LEN(F382)=LENB(F382),ROUND(LEFT(F382,2*LEN(F382)-LENB(F382))/$A$1,3),((ROUND(LEFT(F382,2*LEN(F382)-LENB(F382))/$A$1,3))*VLOOKUP(J382,食材表!$A:$B,2,FALSE))),"")</f>
        <v>1.2E-2</v>
      </c>
      <c r="L382" s="344"/>
      <c r="M382" s="344"/>
      <c r="N382" s="344"/>
      <c r="O382" s="344"/>
      <c r="P382" s="344"/>
      <c r="Q382" s="344"/>
      <c r="R382" s="344"/>
      <c r="S382" s="344"/>
    </row>
    <row r="383" spans="1:19">
      <c r="A383" s="33" t="str">
        <f>"1"&amp;+$B383</f>
        <v>1肉燥米粉湯</v>
      </c>
      <c r="B383" s="355" t="s">
        <v>1120</v>
      </c>
      <c r="C383" s="57" t="s">
        <v>1018</v>
      </c>
      <c r="D383" s="56">
        <v>0.6</v>
      </c>
      <c r="E383" s="55" t="s">
        <v>169</v>
      </c>
      <c r="F383" s="40">
        <v>0.2</v>
      </c>
      <c r="G383" s="352" t="str">
        <f t="shared" ref="G383" si="266">B383</f>
        <v>肉燥米粉湯</v>
      </c>
      <c r="H383" s="91" t="str">
        <f t="shared" ref="H383:H392" si="267">C383</f>
        <v>鮮香菇</v>
      </c>
      <c r="I383" s="83">
        <f>IFERROR(IF(LEN(D383)=LENB(D383),ROUND(LEFT(D383,2*LEN(D383)-LENB(D383))/$A$1,3),((ROUND(LEFT(D383,2*LEN(D383)-LENB(D383))/$A$1,3))*VLOOKUP(H383,食材表!$A:$B,2,FALSE))),"")</f>
        <v>1.2E-2</v>
      </c>
      <c r="J383" s="91" t="str">
        <f t="shared" ref="J383:J392" si="268">E383</f>
        <v>芹菜</v>
      </c>
      <c r="K383" s="83">
        <f>IFERROR(IF(LEN(F383)=LENB(F383),ROUND(LEFT(F383,2*LEN(F383)-LENB(F383))/$A$1,3),((ROUND(LEFT(F383,2*LEN(F383)-LENB(F383))/$A$1,3))*VLOOKUP(J383,食材表!$A:$B,2,FALSE))),"")</f>
        <v>4.0000000000000001E-3</v>
      </c>
      <c r="L383" s="342">
        <f>IFERROR($I383*VLOOKUP($H383,食材表!$A:C,3,FALSE),0)+IFERROR($I384*VLOOKUP($H384,食材表!$A:C,3,FALSE),0)+IFERROR($I385*VLOOKUP($H385,食材表!$A:C,3,FALSE),0)+IFERROR($K383*VLOOKUP($J383,食材表!$A:C,3,FALSE),0)+IFERROR($K384*VLOOKUP($J384,食材表!$A:C,3,FALSE),0)+IFERROR($K385*VLOOKUP($J385,食材表!$A:C,3,FALSE),0)</f>
        <v>1.28</v>
      </c>
      <c r="M383" s="342">
        <f>IFERROR($I383*VLOOKUP($H383,食材表!$A:D,4,FALSE),0)+IFERROR($I384*VLOOKUP($H384,食材表!$A:D,4,FALSE),0)+IFERROR($I385*VLOOKUP($H385,食材表!$A:D,4,FALSE),0)+IFERROR($K383*VLOOKUP($J383,食材表!$A:D,4,FALSE),0)+IFERROR($K384*VLOOKUP($J384,食材表!$A:D,4,FALSE),0)+IFERROR($K385*VLOOKUP($J385,食材表!$A:D,4,FALSE),0)</f>
        <v>0.34285714285714286</v>
      </c>
      <c r="N383" s="342">
        <f>IFERROR($I383*VLOOKUP($H383,食材表!$A:E,5,FALSE),0)+IFERROR($I384*VLOOKUP($H384,食材表!$A:E,5,FALSE),0)+IFERROR($I385*VLOOKUP($H385,食材表!$A:E,5,FALSE),0)+IFERROR($K383*VLOOKUP($J383,食材表!$A:E,5,FALSE),0)+IFERROR($K384*VLOOKUP($J384,食材表!$A:E,5,FALSE),0)+IFERROR($K385*VLOOKUP($J385,食材表!$A:E,5,FALSE),0)</f>
        <v>0</v>
      </c>
      <c r="O383" s="342">
        <f>IFERROR($I383*VLOOKUP($H383,食材表!$A:F,6,FALSE),0)+IFERROR($I384*VLOOKUP($H384,食材表!$A:F,6,FALSE),0)+IFERROR($I385*VLOOKUP($H385,食材表!$A:F,6,FALSE),0)+IFERROR($K383*VLOOKUP($J383,食材表!$A:F,6,FALSE),0)+IFERROR($K384*VLOOKUP($J384,食材表!$A:F,6,FALSE),0)+IFERROR($K385*VLOOKUP($J385,食材表!$A:F,6,FALSE),0)</f>
        <v>0.16</v>
      </c>
      <c r="P383" s="342">
        <f>IFERROR($I383*VLOOKUP($H383,食材表!$A:G,7,FALSE),0)+IFERROR($I384*VLOOKUP($H384,食材表!$A:G,7,FALSE),0)+IFERROR($I385*VLOOKUP($H385,食材表!$A:G,7,FALSE),0)+IFERROR($K383*VLOOKUP($J383,食材表!$A:G,7,FALSE),0)+IFERROR($K384*VLOOKUP($J384,食材表!$A:G,7,FALSE),0)+IFERROR($K385*VLOOKUP($J385,食材表!$A:G,7,FALSE),0)</f>
        <v>0</v>
      </c>
      <c r="Q383" s="342">
        <f>IFERROR($I383*VLOOKUP($H383,食材表!$A:H,8,FALSE),0)+IFERROR($I384*VLOOKUP($H384,食材表!$A:H,8,FALSE),0)+IFERROR($I385*VLOOKUP($H385,食材表!$A:H,8,FALSE),0)+IFERROR($K383*VLOOKUP($J383,食材表!$A:H,8,FALSE),0)+IFERROR($K384*VLOOKUP($J384,食材表!$A:H,8,FALSE),0)+IFERROR($K385*VLOOKUP($J385,食材表!$A:H,8,FALSE),0)</f>
        <v>0</v>
      </c>
      <c r="R383" s="342">
        <f>IFERROR($I383*VLOOKUP($H383,食材表!$A:I,9,FALSE),0)+IFERROR($I384*VLOOKUP($H384,食材表!$A:I,9,FALSE),0)+IFERROR($I385*VLOOKUP($H385,食材表!$A:I,9,FALSE),0)+IFERROR($K383*VLOOKUP($J383,食材表!$A:I,9,FALSE),0)+IFERROR($K384*VLOOKUP($J384,食材表!$A:I,9,FALSE),0)+IFERROR($K385*VLOOKUP($J385,食材表!$A:I,9,FALSE),0)</f>
        <v>0</v>
      </c>
      <c r="S383" s="342">
        <f t="shared" ref="S383" si="269">SUM(L383*70+M383*75+N383*120+O383*25+P383*60+Q383*45+R383*4)</f>
        <v>119.31428571428572</v>
      </c>
    </row>
    <row r="384" spans="1:19">
      <c r="A384" s="33" t="str">
        <f>"2"&amp;+$B383</f>
        <v>2肉燥米粉湯</v>
      </c>
      <c r="B384" s="356"/>
      <c r="C384" s="35" t="s">
        <v>245</v>
      </c>
      <c r="D384" s="40" t="s">
        <v>960</v>
      </c>
      <c r="E384" s="31" t="s">
        <v>316</v>
      </c>
      <c r="F384" s="33">
        <v>0.6</v>
      </c>
      <c r="G384" s="353"/>
      <c r="H384" s="93" t="str">
        <f t="shared" si="267"/>
        <v>中粗米粉</v>
      </c>
      <c r="I384" s="86">
        <f>IFERROR(IF(LEN(D384)=LENB(D384),ROUND(LEFT(D384,2*LEN(D384)-LENB(D384))/$A$1,3),((ROUND(LEFT(D384,2*LEN(D384)-LENB(D384))/$A$1,3))*VLOOKUP(H384,食材表!$A:$B,2,FALSE))),"")</f>
        <v>0.08</v>
      </c>
      <c r="J384" s="93" t="str">
        <f t="shared" si="268"/>
        <v>豆芽菜</v>
      </c>
      <c r="K384" s="86">
        <f>IFERROR(IF(LEN(F384)=LENB(F384),ROUND(LEFT(F384,2*LEN(F384)-LENB(F384))/$A$1,3),((ROUND(LEFT(F384,2*LEN(F384)-LENB(F384))/$A$1,3))*VLOOKUP(J384,食材表!$A:$B,2,FALSE))),"")</f>
        <v>1.2E-2</v>
      </c>
      <c r="L384" s="343"/>
      <c r="M384" s="343"/>
      <c r="N384" s="343"/>
      <c r="O384" s="343"/>
      <c r="P384" s="343"/>
      <c r="Q384" s="343"/>
      <c r="R384" s="343"/>
      <c r="S384" s="343"/>
    </row>
    <row r="385" spans="1:19">
      <c r="A385" s="33" t="str">
        <f>"3"&amp;+$B383</f>
        <v>3肉燥米粉湯</v>
      </c>
      <c r="B385" s="357"/>
      <c r="C385" s="158" t="s">
        <v>138</v>
      </c>
      <c r="D385" s="33">
        <v>0.6</v>
      </c>
      <c r="E385" s="28"/>
      <c r="F385" s="8"/>
      <c r="G385" s="354"/>
      <c r="H385" s="92" t="str">
        <f t="shared" si="267"/>
        <v>豬絞肉</v>
      </c>
      <c r="I385" s="84">
        <f>IFERROR(IF(LEN(D385)=LENB(D385),ROUND(LEFT(D385,2*LEN(D385)-LENB(D385))/$A$1,3),((ROUND(LEFT(D385,2*LEN(D385)-LENB(D385))/$A$1,3))*VLOOKUP(H385,食材表!$A:$B,2,FALSE))),"")</f>
        <v>1.2E-2</v>
      </c>
      <c r="J385" s="92">
        <f t="shared" si="268"/>
        <v>0</v>
      </c>
      <c r="K385" s="85" t="str">
        <f>IFERROR(IF(LEN(F385)=LENB(F385),ROUND(LEFT(F385,2*LEN(F385)-LENB(F385))/$A$1,3),((ROUND(LEFT(F385,2*LEN(F385)-LENB(F385))/$A$1,3))*VLOOKUP(J385,食材表!$A:$B,2,FALSE))),"")</f>
        <v/>
      </c>
      <c r="L385" s="344"/>
      <c r="M385" s="344"/>
      <c r="N385" s="344"/>
      <c r="O385" s="344"/>
      <c r="P385" s="344"/>
      <c r="Q385" s="344"/>
      <c r="R385" s="344"/>
      <c r="S385" s="344"/>
    </row>
    <row r="386" spans="1:19">
      <c r="A386" s="33" t="str">
        <f>"1"&amp;+$B386</f>
        <v>1家常麵疙瘩</v>
      </c>
      <c r="B386" s="355" t="s">
        <v>1123</v>
      </c>
      <c r="C386" s="57" t="s">
        <v>73</v>
      </c>
      <c r="D386" s="56">
        <v>3.6</v>
      </c>
      <c r="E386" s="58" t="s">
        <v>74</v>
      </c>
      <c r="F386" s="56">
        <v>0.6</v>
      </c>
      <c r="G386" s="352" t="str">
        <f t="shared" ref="G386" si="270">B386</f>
        <v>家常麵疙瘩</v>
      </c>
      <c r="H386" s="91" t="str">
        <f t="shared" si="267"/>
        <v>麵疙瘩</v>
      </c>
      <c r="I386" s="83">
        <f>IFERROR(IF(LEN(D386)=LENB(D386),ROUND(LEFT(D386,2*LEN(D386)-LENB(D386))/$A$1,3),((ROUND(LEFT(D386,2*LEN(D386)-LENB(D386))/$A$1,3))*VLOOKUP(H386,食材表!$A:$B,2,FALSE))),"")</f>
        <v>7.1999999999999995E-2</v>
      </c>
      <c r="J386" s="91" t="str">
        <f t="shared" si="268"/>
        <v>青江菜</v>
      </c>
      <c r="K386" s="83">
        <f>IFERROR(IF(LEN(F386)=LENB(F386),ROUND(LEFT(F386,2*LEN(F386)-LENB(F386))/$A$1,3),((ROUND(LEFT(F386,2*LEN(F386)-LENB(F386))/$A$1,3))*VLOOKUP(J386,食材表!$A:$B,2,FALSE))),"")</f>
        <v>1.2E-2</v>
      </c>
      <c r="L386" s="342">
        <f>IFERROR($I386*VLOOKUP($H386,食材表!$A:C,3,FALSE),0)+IFERROR($I387*VLOOKUP($H387,食材表!$A:C,3,FALSE),0)+IFERROR($I388*VLOOKUP($H388,食材表!$A:C,3,FALSE),0)+IFERROR($K386*VLOOKUP($J386,食材表!$A:C,3,FALSE),0)+IFERROR($K387*VLOOKUP($J387,食材表!$A:C,3,FALSE),0)+IFERROR($K388*VLOOKUP($J388,食材表!$A:C,3,FALSE),0)</f>
        <v>1.2</v>
      </c>
      <c r="M386" s="342">
        <f>IFERROR($I386*VLOOKUP($H386,食材表!$A:D,4,FALSE),0)+IFERROR($I387*VLOOKUP($H387,食材表!$A:D,4,FALSE),0)+IFERROR($I388*VLOOKUP($H388,食材表!$A:D,4,FALSE),0)+IFERROR($K386*VLOOKUP($J386,食材表!$A:D,4,FALSE),0)+IFERROR($K387*VLOOKUP($J387,食材表!$A:D,4,FALSE),0)+IFERROR($K388*VLOOKUP($J388,食材表!$A:D,4,FALSE),0)</f>
        <v>0.34285714285714286</v>
      </c>
      <c r="N386" s="342">
        <f>IFERROR($I386*VLOOKUP($H386,食材表!$A:E,5,FALSE),0)+IFERROR($I387*VLOOKUP($H387,食材表!$A:E,5,FALSE),0)+IFERROR($I388*VLOOKUP($H388,食材表!$A:E,5,FALSE),0)+IFERROR($K386*VLOOKUP($J386,食材表!$A:E,5,FALSE),0)+IFERROR($K387*VLOOKUP($J387,食材表!$A:E,5,FALSE),0)+IFERROR($K388*VLOOKUP($J388,食材表!$A:E,5,FALSE),0)</f>
        <v>0</v>
      </c>
      <c r="O386" s="342">
        <f>IFERROR($I386*VLOOKUP($H386,食材表!$A:F,6,FALSE),0)+IFERROR($I387*VLOOKUP($H387,食材表!$A:F,6,FALSE),0)+IFERROR($I388*VLOOKUP($H388,食材表!$A:F,6,FALSE),0)+IFERROR($K386*VLOOKUP($J386,食材表!$A:F,6,FALSE),0)+IFERROR($K387*VLOOKUP($J387,食材表!$A:F,6,FALSE),0)+IFERROR($K388*VLOOKUP($J388,食材表!$A:F,6,FALSE),0)</f>
        <v>0.24000000000000002</v>
      </c>
      <c r="P386" s="342">
        <f>IFERROR($I386*VLOOKUP($H386,食材表!$A:G,7,FALSE),0)+IFERROR($I387*VLOOKUP($H387,食材表!$A:G,7,FALSE),0)+IFERROR($I388*VLOOKUP($H388,食材表!$A:G,7,FALSE),0)+IFERROR($K386*VLOOKUP($J386,食材表!$A:G,7,FALSE),0)+IFERROR($K387*VLOOKUP($J387,食材表!$A:G,7,FALSE),0)+IFERROR($K388*VLOOKUP($J388,食材表!$A:G,7,FALSE),0)</f>
        <v>0</v>
      </c>
      <c r="Q386" s="342">
        <f>IFERROR($I386*VLOOKUP($H386,食材表!$A:H,8,FALSE),0)+IFERROR($I387*VLOOKUP($H387,食材表!$A:H,8,FALSE),0)+IFERROR($I388*VLOOKUP($H388,食材表!$A:H,8,FALSE),0)+IFERROR($K386*VLOOKUP($J386,食材表!$A:H,8,FALSE),0)+IFERROR($K387*VLOOKUP($J387,食材表!$A:H,8,FALSE),0)+IFERROR($K388*VLOOKUP($J388,食材表!$A:H,8,FALSE),0)</f>
        <v>0</v>
      </c>
      <c r="R386" s="342">
        <f>IFERROR($I386*VLOOKUP($H386,食材表!$A:I,9,FALSE),0)+IFERROR($I387*VLOOKUP($H387,食材表!$A:I,9,FALSE),0)+IFERROR($I388*VLOOKUP($H388,食材表!$A:I,9,FALSE),0)+IFERROR($K386*VLOOKUP($J386,食材表!$A:I,9,FALSE),0)+IFERROR($K387*VLOOKUP($J387,食材表!$A:I,9,FALSE),0)+IFERROR($K388*VLOOKUP($J388,食材表!$A:I,9,FALSE),0)</f>
        <v>0</v>
      </c>
      <c r="S386" s="342">
        <f t="shared" ref="S386" si="271">SUM(L386*70+M386*75+N386*120+O386*25+P386*60+Q386*45+R386*4)</f>
        <v>115.71428571428572</v>
      </c>
    </row>
    <row r="387" spans="1:19">
      <c r="A387" s="33" t="str">
        <f>"2"&amp;+$B386</f>
        <v>2家常麵疙瘩</v>
      </c>
      <c r="B387" s="356"/>
      <c r="C387" s="50" t="s">
        <v>47</v>
      </c>
      <c r="D387" s="40">
        <v>0.6</v>
      </c>
      <c r="E387" s="27" t="s">
        <v>75</v>
      </c>
      <c r="F387" s="33">
        <v>0.2</v>
      </c>
      <c r="G387" s="353"/>
      <c r="H387" s="93" t="str">
        <f t="shared" si="267"/>
        <v>豬肉絲</v>
      </c>
      <c r="I387" s="86">
        <f>IFERROR(IF(LEN(D387)=LENB(D387),ROUND(LEFT(D387,2*LEN(D387)-LENB(D387))/$A$1,3),((ROUND(LEFT(D387,2*LEN(D387)-LENB(D387))/$A$1,3))*VLOOKUP(H387,食材表!$A:$B,2,FALSE))),"")</f>
        <v>1.2E-2</v>
      </c>
      <c r="J387" s="93" t="str">
        <f t="shared" si="268"/>
        <v>紅蘿蔔</v>
      </c>
      <c r="K387" s="86">
        <f>IFERROR(IF(LEN(F387)=LENB(F387),ROUND(LEFT(F387,2*LEN(F387)-LENB(F387))/$A$1,3),((ROUND(LEFT(F387,2*LEN(F387)-LENB(F387))/$A$1,3))*VLOOKUP(J387,食材表!$A:$B,2,FALSE))),"")</f>
        <v>4.0000000000000001E-3</v>
      </c>
      <c r="L387" s="343"/>
      <c r="M387" s="343"/>
      <c r="N387" s="343"/>
      <c r="O387" s="343"/>
      <c r="P387" s="343"/>
      <c r="Q387" s="343"/>
      <c r="R387" s="343"/>
      <c r="S387" s="343"/>
    </row>
    <row r="388" spans="1:19">
      <c r="A388" s="33" t="str">
        <f>"3"&amp;+$B386</f>
        <v>3家常麵疙瘩</v>
      </c>
      <c r="B388" s="357"/>
      <c r="C388" s="28" t="s">
        <v>52</v>
      </c>
      <c r="D388" s="8">
        <v>0.4</v>
      </c>
      <c r="E388" s="29"/>
      <c r="F388" s="8"/>
      <c r="G388" s="354"/>
      <c r="H388" s="92" t="str">
        <f t="shared" si="267"/>
        <v>生香菇</v>
      </c>
      <c r="I388" s="84">
        <f>IFERROR(IF(LEN(D388)=LENB(D388),ROUND(LEFT(D388,2*LEN(D388)-LENB(D388))/$A$1,3),((ROUND(LEFT(D388,2*LEN(D388)-LENB(D388))/$A$1,3))*VLOOKUP(H388,食材表!$A:$B,2,FALSE))),"")</f>
        <v>8.0000000000000002E-3</v>
      </c>
      <c r="J388" s="92">
        <f t="shared" si="268"/>
        <v>0</v>
      </c>
      <c r="K388" s="85" t="str">
        <f>IFERROR(IF(LEN(F388)=LENB(F388),ROUND(LEFT(F388,2*LEN(F388)-LENB(F388))/$A$1,3),((ROUND(LEFT(F388,2*LEN(F388)-LENB(F388))/$A$1,3))*VLOOKUP(J388,食材表!$A:$B,2,FALSE))),"")</f>
        <v/>
      </c>
      <c r="L388" s="344"/>
      <c r="M388" s="344"/>
      <c r="N388" s="344"/>
      <c r="O388" s="344"/>
      <c r="P388" s="344"/>
      <c r="Q388" s="344"/>
      <c r="R388" s="344"/>
      <c r="S388" s="344"/>
    </row>
    <row r="389" spans="1:19">
      <c r="A389" s="33" t="str">
        <f>"1"&amp;+$B389</f>
        <v>1麵疙瘩</v>
      </c>
      <c r="B389" s="355" t="s">
        <v>73</v>
      </c>
      <c r="C389" s="57" t="s">
        <v>73</v>
      </c>
      <c r="D389" s="56">
        <v>3.6</v>
      </c>
      <c r="E389" s="58" t="s">
        <v>74</v>
      </c>
      <c r="F389" s="56">
        <v>0.6</v>
      </c>
      <c r="G389" s="352" t="str">
        <f t="shared" ref="G389" si="272">B389</f>
        <v>麵疙瘩</v>
      </c>
      <c r="H389" s="91" t="str">
        <f t="shared" si="267"/>
        <v>麵疙瘩</v>
      </c>
      <c r="I389" s="83">
        <f>IFERROR(IF(LEN(D389)=LENB(D389),ROUND(LEFT(D389,2*LEN(D389)-LENB(D389))/$A$1,3),((ROUND(LEFT(D389,2*LEN(D389)-LENB(D389))/$A$1,3))*VLOOKUP(H389,食材表!$A:$B,2,FALSE))),"")</f>
        <v>7.1999999999999995E-2</v>
      </c>
      <c r="J389" s="91" t="str">
        <f t="shared" si="268"/>
        <v>青江菜</v>
      </c>
      <c r="K389" s="83">
        <f>IFERROR(IF(LEN(F389)=LENB(F389),ROUND(LEFT(F389,2*LEN(F389)-LENB(F389))/$A$1,3),((ROUND(LEFT(F389,2*LEN(F389)-LENB(F389))/$A$1,3))*VLOOKUP(J389,食材表!$A:$B,2,FALSE))),"")</f>
        <v>1.2E-2</v>
      </c>
      <c r="L389" s="342">
        <f>IFERROR($I389*VLOOKUP($H389,食材表!$A:C,3,FALSE),0)+IFERROR($I390*VLOOKUP($H390,食材表!$A:C,3,FALSE),0)+IFERROR($I391*VLOOKUP($H391,食材表!$A:C,3,FALSE),0)+IFERROR($K389*VLOOKUP($J389,食材表!$A:C,3,FALSE),0)+IFERROR($K390*VLOOKUP($J390,食材表!$A:C,3,FALSE),0)+IFERROR($K391*VLOOKUP($J391,食材表!$A:C,3,FALSE),0)</f>
        <v>1.2</v>
      </c>
      <c r="M389" s="342">
        <f>IFERROR($I389*VLOOKUP($H389,食材表!$A:D,4,FALSE),0)+IFERROR($I390*VLOOKUP($H390,食材表!$A:D,4,FALSE),0)+IFERROR($I391*VLOOKUP($H391,食材表!$A:D,4,FALSE),0)+IFERROR($K389*VLOOKUP($J389,食材表!$A:D,4,FALSE),0)+IFERROR($K390*VLOOKUP($J390,食材表!$A:D,4,FALSE),0)+IFERROR($K391*VLOOKUP($J391,食材表!$A:D,4,FALSE),0)</f>
        <v>0.34285714285714286</v>
      </c>
      <c r="N389" s="342">
        <f>IFERROR($I389*VLOOKUP($H389,食材表!$A:E,5,FALSE),0)+IFERROR($I390*VLOOKUP($H390,食材表!$A:E,5,FALSE),0)+IFERROR($I391*VLOOKUP($H391,食材表!$A:E,5,FALSE),0)+IFERROR($K389*VLOOKUP($J389,食材表!$A:E,5,FALSE),0)+IFERROR($K390*VLOOKUP($J390,食材表!$A:E,5,FALSE),0)+IFERROR($K391*VLOOKUP($J391,食材表!$A:E,5,FALSE),0)</f>
        <v>0</v>
      </c>
      <c r="O389" s="342">
        <f>IFERROR($I389*VLOOKUP($H389,食材表!$A:F,6,FALSE),0)+IFERROR($I390*VLOOKUP($H390,食材表!$A:F,6,FALSE),0)+IFERROR($I391*VLOOKUP($H391,食材表!$A:F,6,FALSE),0)+IFERROR($K389*VLOOKUP($J389,食材表!$A:F,6,FALSE),0)+IFERROR($K390*VLOOKUP($J390,食材表!$A:F,6,FALSE),0)+IFERROR($K391*VLOOKUP($J391,食材表!$A:F,6,FALSE),0)</f>
        <v>0.24000000000000002</v>
      </c>
      <c r="P389" s="342">
        <f>IFERROR($I389*VLOOKUP($H389,食材表!$A:G,7,FALSE),0)+IFERROR($I390*VLOOKUP($H390,食材表!$A:G,7,FALSE),0)+IFERROR($I391*VLOOKUP($H391,食材表!$A:G,7,FALSE),0)+IFERROR($K389*VLOOKUP($J389,食材表!$A:G,7,FALSE),0)+IFERROR($K390*VLOOKUP($J390,食材表!$A:G,7,FALSE),0)+IFERROR($K391*VLOOKUP($J391,食材表!$A:G,7,FALSE),0)</f>
        <v>0</v>
      </c>
      <c r="Q389" s="342">
        <f>IFERROR($I389*VLOOKUP($H389,食材表!$A:H,8,FALSE),0)+IFERROR($I390*VLOOKUP($H390,食材表!$A:H,8,FALSE),0)+IFERROR($I391*VLOOKUP($H391,食材表!$A:H,8,FALSE),0)+IFERROR($K389*VLOOKUP($J389,食材表!$A:H,8,FALSE),0)+IFERROR($K390*VLOOKUP($J390,食材表!$A:H,8,FALSE),0)+IFERROR($K391*VLOOKUP($J391,食材表!$A:H,8,FALSE),0)</f>
        <v>0</v>
      </c>
      <c r="R389" s="342">
        <f>IFERROR($I389*VLOOKUP($H389,食材表!$A:I,9,FALSE),0)+IFERROR($I390*VLOOKUP($H390,食材表!$A:I,9,FALSE),0)+IFERROR($I391*VLOOKUP($H391,食材表!$A:I,9,FALSE),0)+IFERROR($K389*VLOOKUP($J389,食材表!$A:I,9,FALSE),0)+IFERROR($K390*VLOOKUP($J390,食材表!$A:I,9,FALSE),0)+IFERROR($K391*VLOOKUP($J391,食材表!$A:I,9,FALSE),0)</f>
        <v>0</v>
      </c>
      <c r="S389" s="342">
        <f t="shared" ref="S389" si="273">SUM(L389*70+M389*75+N389*120+O389*25+P389*60+Q389*45+R389*4)</f>
        <v>115.71428571428572</v>
      </c>
    </row>
    <row r="390" spans="1:19">
      <c r="A390" s="33" t="str">
        <f>"2"&amp;+$B389</f>
        <v>2麵疙瘩</v>
      </c>
      <c r="B390" s="356"/>
      <c r="C390" s="50" t="s">
        <v>47</v>
      </c>
      <c r="D390" s="40">
        <v>0.6</v>
      </c>
      <c r="E390" s="27" t="s">
        <v>75</v>
      </c>
      <c r="F390" s="33">
        <v>0.2</v>
      </c>
      <c r="G390" s="353"/>
      <c r="H390" s="93" t="str">
        <f t="shared" si="267"/>
        <v>豬肉絲</v>
      </c>
      <c r="I390" s="86">
        <f>IFERROR(IF(LEN(D390)=LENB(D390),ROUND(LEFT(D390,2*LEN(D390)-LENB(D390))/$A$1,3),((ROUND(LEFT(D390,2*LEN(D390)-LENB(D390))/$A$1,3))*VLOOKUP(H390,食材表!$A:$B,2,FALSE))),"")</f>
        <v>1.2E-2</v>
      </c>
      <c r="J390" s="93" t="str">
        <f t="shared" si="268"/>
        <v>紅蘿蔔</v>
      </c>
      <c r="K390" s="86">
        <f>IFERROR(IF(LEN(F390)=LENB(F390),ROUND(LEFT(F390,2*LEN(F390)-LENB(F390))/$A$1,3),((ROUND(LEFT(F390,2*LEN(F390)-LENB(F390))/$A$1,3))*VLOOKUP(J390,食材表!$A:$B,2,FALSE))),"")</f>
        <v>4.0000000000000001E-3</v>
      </c>
      <c r="L390" s="343"/>
      <c r="M390" s="343"/>
      <c r="N390" s="343"/>
      <c r="O390" s="343"/>
      <c r="P390" s="343"/>
      <c r="Q390" s="343"/>
      <c r="R390" s="343"/>
      <c r="S390" s="343"/>
    </row>
    <row r="391" spans="1:19">
      <c r="A391" s="33" t="str">
        <f>"3"&amp;+$B389</f>
        <v>3麵疙瘩</v>
      </c>
      <c r="B391" s="357"/>
      <c r="C391" s="28" t="s">
        <v>52</v>
      </c>
      <c r="D391" s="8">
        <v>0.4</v>
      </c>
      <c r="E391" s="29"/>
      <c r="F391" s="8"/>
      <c r="G391" s="354"/>
      <c r="H391" s="92" t="str">
        <f t="shared" si="267"/>
        <v>生香菇</v>
      </c>
      <c r="I391" s="84">
        <f>IFERROR(IF(LEN(D391)=LENB(D391),ROUND(LEFT(D391,2*LEN(D391)-LENB(D391))/$A$1,3),((ROUND(LEFT(D391,2*LEN(D391)-LENB(D391))/$A$1,3))*VLOOKUP(H391,食材表!$A:$B,2,FALSE))),"")</f>
        <v>8.0000000000000002E-3</v>
      </c>
      <c r="J391" s="92">
        <f t="shared" si="268"/>
        <v>0</v>
      </c>
      <c r="K391" s="85" t="str">
        <f>IFERROR(IF(LEN(F391)=LENB(F391),ROUND(LEFT(F391,2*LEN(F391)-LENB(F391))/$A$1,3),((ROUND(LEFT(F391,2*LEN(F391)-LENB(F391))/$A$1,3))*VLOOKUP(J391,食材表!$A:$B,2,FALSE))),"")</f>
        <v/>
      </c>
      <c r="L391" s="344"/>
      <c r="M391" s="344"/>
      <c r="N391" s="344"/>
      <c r="O391" s="344"/>
      <c r="P391" s="344"/>
      <c r="Q391" s="344"/>
      <c r="R391" s="344"/>
      <c r="S391" s="344"/>
    </row>
    <row r="392" spans="1:19">
      <c r="A392" s="33" t="str">
        <f>"1"&amp;+$B392</f>
        <v>1貢丸米粉湯</v>
      </c>
      <c r="B392" s="355" t="s">
        <v>244</v>
      </c>
      <c r="C392" s="55" t="s">
        <v>171</v>
      </c>
      <c r="D392" s="56">
        <v>1</v>
      </c>
      <c r="E392" s="55" t="s">
        <v>46</v>
      </c>
      <c r="F392" s="33">
        <v>1</v>
      </c>
      <c r="G392" s="352" t="str">
        <f>B392</f>
        <v>貢丸米粉湯</v>
      </c>
      <c r="H392" s="91" t="str">
        <f t="shared" si="267"/>
        <v>貢丸</v>
      </c>
      <c r="I392" s="83">
        <f>IFERROR(IF(LEN(D392)=LENB(D392),ROUND(LEFT(D392,2*LEN(D392)-LENB(D392))/$A$1,3),((ROUND(LEFT(D392,2*LEN(D392)-LENB(D392))/$A$1,3))*VLOOKUP(H392,食材表!$A:$B,2,FALSE))),"")</f>
        <v>0.02</v>
      </c>
      <c r="J392" s="91" t="str">
        <f t="shared" si="268"/>
        <v>高麗菜</v>
      </c>
      <c r="K392" s="83">
        <f>IFERROR(IF(LEN(F392)=LENB(F392),ROUND(LEFT(F392,2*LEN(F392)-LENB(F392))/$A$1,3),((ROUND(LEFT(F392,2*LEN(F392)-LENB(F392))/$A$1,3))*VLOOKUP(J392,食材表!$A:$B,2,FALSE))),"")</f>
        <v>0.02</v>
      </c>
      <c r="L392" s="342">
        <f>IFERROR($I392*VLOOKUP($H392,食材表!$A:C,3,FALSE),0)+IFERROR($I393*VLOOKUP($H393,食材表!$A:C,3,FALSE),0)+IFERROR($I394*VLOOKUP($H394,食材表!$A:C,3,FALSE),0)+IFERROR($K392*VLOOKUP($J392,食材表!$A:C,3,FALSE),0)+IFERROR($K393*VLOOKUP($J393,食材表!$A:C,3,FALSE),0)+IFERROR($K394*VLOOKUP($J394,食材表!$A:C,3,FALSE),0)</f>
        <v>1.28</v>
      </c>
      <c r="M392" s="342">
        <f>IFERROR($I392*VLOOKUP($H392,食材表!$A:D,4,FALSE),0)+IFERROR($I393*VLOOKUP($H393,食材表!$A:D,4,FALSE),0)+IFERROR($I394*VLOOKUP($H394,食材表!$A:D,4,FALSE),0)+IFERROR($K392*VLOOKUP($J392,食材表!$A:D,4,FALSE),0)+IFERROR($K393*VLOOKUP($J393,食材表!$A:D,4,FALSE),0)+IFERROR($K394*VLOOKUP($J394,食材表!$A:D,4,FALSE),0)</f>
        <v>0.4</v>
      </c>
      <c r="N392" s="342">
        <f>IFERROR($I392*VLOOKUP($H392,食材表!$A:E,5,FALSE),0)+IFERROR($I393*VLOOKUP($H393,食材表!$A:E,5,FALSE),0)+IFERROR($I394*VLOOKUP($H394,食材表!$A:E,5,FALSE),0)+IFERROR($K392*VLOOKUP($J392,食材表!$A:E,5,FALSE),0)+IFERROR($K393*VLOOKUP($J393,食材表!$A:E,5,FALSE),0)+IFERROR($K394*VLOOKUP($J394,食材表!$A:E,5,FALSE),0)</f>
        <v>0</v>
      </c>
      <c r="O392" s="342">
        <f>IFERROR($I392*VLOOKUP($H392,食材表!$A:F,6,FALSE),0)+IFERROR($I393*VLOOKUP($H393,食材表!$A:F,6,FALSE),0)+IFERROR($I394*VLOOKUP($H394,食材表!$A:F,6,FALSE),0)+IFERROR($K392*VLOOKUP($J392,食材表!$A:F,6,FALSE),0)+IFERROR($K393*VLOOKUP($J393,食材表!$A:F,6,FALSE),0)+IFERROR($K394*VLOOKUP($J394,食材表!$A:F,6,FALSE),0)</f>
        <v>0.22</v>
      </c>
      <c r="P392" s="342">
        <f>IFERROR($I392*VLOOKUP($H392,食材表!$A:G,7,FALSE),0)+IFERROR($I393*VLOOKUP($H393,食材表!$A:G,7,FALSE),0)+IFERROR($I394*VLOOKUP($H394,食材表!$A:G,7,FALSE),0)+IFERROR($K392*VLOOKUP($J392,食材表!$A:G,7,FALSE),0)+IFERROR($K393*VLOOKUP($J393,食材表!$A:G,7,FALSE),0)+IFERROR($K394*VLOOKUP($J394,食材表!$A:G,7,FALSE),0)</f>
        <v>0</v>
      </c>
      <c r="Q392" s="342">
        <f>IFERROR($I392*VLOOKUP($H392,食材表!$A:H,8,FALSE),0)+IFERROR($I393*VLOOKUP($H393,食材表!$A:H,8,FALSE),0)+IFERROR($I394*VLOOKUP($H394,食材表!$A:H,8,FALSE),0)+IFERROR($K392*VLOOKUP($J392,食材表!$A:H,8,FALSE),0)+IFERROR($K393*VLOOKUP($J393,食材表!$A:H,8,FALSE),0)+IFERROR($K394*VLOOKUP($J394,食材表!$A:H,8,FALSE),0)</f>
        <v>0</v>
      </c>
      <c r="R392" s="342">
        <f>IFERROR($I392*VLOOKUP($H392,食材表!$A:I,9,FALSE),0)+IFERROR($I393*VLOOKUP($H393,食材表!$A:I,9,FALSE),0)+IFERROR($I394*VLOOKUP($H394,食材表!$A:I,9,FALSE),0)+IFERROR($K392*VLOOKUP($J392,食材表!$A:I,9,FALSE),0)+IFERROR($K393*VLOOKUP($J393,食材表!$A:I,9,FALSE),0)+IFERROR($K394*VLOOKUP($J394,食材表!$A:I,9,FALSE),0)</f>
        <v>0</v>
      </c>
      <c r="S392" s="342">
        <f>SUM(L392*70+M392*75+N392*120+O392*25+P392*60+Q392*45+R392*4)</f>
        <v>125.10000000000001</v>
      </c>
    </row>
    <row r="393" spans="1:19">
      <c r="A393" s="33" t="str">
        <f>"2"&amp;+$B392</f>
        <v>2貢丸米粉湯</v>
      </c>
      <c r="B393" s="356"/>
      <c r="C393" s="31" t="s">
        <v>245</v>
      </c>
      <c r="D393" s="33" t="s">
        <v>960</v>
      </c>
      <c r="E393" s="31"/>
      <c r="F393" s="33"/>
      <c r="G393" s="353"/>
      <c r="H393" s="93" t="str">
        <f t="shared" ref="H393:H394" si="274">C393</f>
        <v>中粗米粉</v>
      </c>
      <c r="I393" s="86">
        <f>IFERROR(IF(LEN(D393)=LENB(D393),ROUND(LEFT(D393,2*LEN(D393)-LENB(D393))/$A$1,3),((ROUND(LEFT(D393,2*LEN(D393)-LENB(D393))/$A$1,3))*VLOOKUP(H393,食材表!$A:$B,2,FALSE))),"")</f>
        <v>0.08</v>
      </c>
      <c r="J393" s="93">
        <f t="shared" ref="J393:J394" si="275">E393</f>
        <v>0</v>
      </c>
      <c r="K393" s="86" t="str">
        <f>IFERROR(IF(LEN(F393)=LENB(F393),ROUND(LEFT(F393,2*LEN(F393)-LENB(F393))/$A$1,3),((ROUND(LEFT(F393,2*LEN(F393)-LENB(F393))/$A$1,3))*VLOOKUP(J393,食材表!$A:$B,2,FALSE))),"")</f>
        <v/>
      </c>
      <c r="L393" s="343"/>
      <c r="M393" s="343"/>
      <c r="N393" s="343"/>
      <c r="O393" s="343"/>
      <c r="P393" s="343"/>
      <c r="Q393" s="343"/>
      <c r="R393" s="343"/>
      <c r="S393" s="343"/>
    </row>
    <row r="394" spans="1:19">
      <c r="A394" s="33" t="str">
        <f>"3"&amp;+$B392</f>
        <v>3貢丸米粉湯</v>
      </c>
      <c r="B394" s="357"/>
      <c r="C394" s="28" t="s">
        <v>169</v>
      </c>
      <c r="D394" s="8">
        <v>0.1</v>
      </c>
      <c r="E394" s="28"/>
      <c r="F394" s="8"/>
      <c r="G394" s="354"/>
      <c r="H394" s="92" t="str">
        <f t="shared" si="274"/>
        <v>芹菜</v>
      </c>
      <c r="I394" s="84">
        <f>IFERROR(IF(LEN(D394)=LENB(D394),ROUND(LEFT(D394,2*LEN(D394)-LENB(D394))/$A$1,3),((ROUND(LEFT(D394,2*LEN(D394)-LENB(D394))/$A$1,3))*VLOOKUP(H394,食材表!$A:$B,2,FALSE))),"")</f>
        <v>2E-3</v>
      </c>
      <c r="J394" s="92">
        <f t="shared" si="275"/>
        <v>0</v>
      </c>
      <c r="K394" s="85" t="str">
        <f>IFERROR(IF(LEN(F394)=LENB(F394),ROUND(LEFT(F394,2*LEN(F394)-LENB(F394))/$A$1,3),((ROUND(LEFT(F394,2*LEN(F394)-LENB(F394))/$A$1,3))*VLOOKUP(J394,食材表!$A:$B,2,FALSE))),"")</f>
        <v/>
      </c>
      <c r="L394" s="344"/>
      <c r="M394" s="344"/>
      <c r="N394" s="344"/>
      <c r="O394" s="344"/>
      <c r="P394" s="344"/>
      <c r="Q394" s="344"/>
      <c r="R394" s="344"/>
      <c r="S394" s="344"/>
    </row>
    <row r="395" spans="1:19">
      <c r="A395" s="33" t="str">
        <f>"1"&amp;+$B395</f>
        <v>1芋頭米粉湯</v>
      </c>
      <c r="B395" s="362" t="s">
        <v>1054</v>
      </c>
      <c r="C395" s="55" t="s">
        <v>245</v>
      </c>
      <c r="D395" s="56" t="s">
        <v>1017</v>
      </c>
      <c r="E395" s="55" t="s">
        <v>46</v>
      </c>
      <c r="F395" s="33">
        <v>1</v>
      </c>
      <c r="G395" s="352" t="str">
        <f>B395</f>
        <v>芋頭米粉湯</v>
      </c>
      <c r="H395" s="91" t="str">
        <f>C395</f>
        <v>中粗米粉</v>
      </c>
      <c r="I395" s="83">
        <f>IFERROR(IF(LEN(D395)=LENB(D395),ROUND(LEFT(D395,2*LEN(D395)-LENB(D395))/$A$1,3),((ROUND(LEFT(D395,2*LEN(D395)-LENB(D395))/$A$1,3))*VLOOKUP(H395,食材表!$A:$B,2,FALSE))),"")</f>
        <v>0.06</v>
      </c>
      <c r="J395" s="91" t="str">
        <f>E395</f>
        <v>高麗菜</v>
      </c>
      <c r="K395" s="83">
        <f>IFERROR(IF(LEN(F395)=LENB(F395),ROUND(LEFT(F395,2*LEN(F395)-LENB(F395))/$A$1,3),((ROUND(LEFT(F395,2*LEN(F395)-LENB(F395))/$A$1,3))*VLOOKUP(J395,食材表!$A:$B,2,FALSE))),"")</f>
        <v>0.02</v>
      </c>
      <c r="L395" s="342">
        <f>IFERROR($I395*VLOOKUP($H395,食材表!$A:C,3,FALSE),0)+IFERROR($I396*VLOOKUP($H396,食材表!$A:C,3,FALSE),0)+IFERROR($I397*VLOOKUP($H397,食材表!$A:C,3,FALSE),0)+IFERROR($K395*VLOOKUP($J395,食材表!$A:C,3,FALSE),0)+IFERROR($K396*VLOOKUP($J396,食材表!$A:C,3,FALSE),0)+IFERROR($K397*VLOOKUP($J397,食材表!$A:C,3,FALSE),0)</f>
        <v>0.96</v>
      </c>
      <c r="M395" s="342">
        <f>IFERROR($I395*VLOOKUP($H395,食材表!$A:D,4,FALSE),0)+IFERROR($I396*VLOOKUP($H396,食材表!$A:D,4,FALSE),0)+IFERROR($I397*VLOOKUP($H397,食材表!$A:D,4,FALSE),0)+IFERROR($K395*VLOOKUP($J395,食材表!$A:D,4,FALSE),0)+IFERROR($K396*VLOOKUP($J396,食材表!$A:D,4,FALSE),0)+IFERROR($K397*VLOOKUP($J397,食材表!$A:D,4,FALSE),0)</f>
        <v>0.34285714285714286</v>
      </c>
      <c r="N395" s="342">
        <f>IFERROR($I395*VLOOKUP($H395,食材表!$A:E,5,FALSE),0)+IFERROR($I396*VLOOKUP($H396,食材表!$A:E,5,FALSE),0)+IFERROR($I397*VLOOKUP($H397,食材表!$A:E,5,FALSE),0)+IFERROR($K395*VLOOKUP($J395,食材表!$A:E,5,FALSE),0)+IFERROR($K396*VLOOKUP($J396,食材表!$A:E,5,FALSE),0)+IFERROR($K397*VLOOKUP($J397,食材表!$A:E,5,FALSE),0)</f>
        <v>0</v>
      </c>
      <c r="O395" s="342">
        <f>IFERROR($I395*VLOOKUP($H395,食材表!$A:F,6,FALSE),0)+IFERROR($I396*VLOOKUP($H396,食材表!$A:F,6,FALSE),0)+IFERROR($I397*VLOOKUP($H397,食材表!$A:F,6,FALSE),0)+IFERROR($K395*VLOOKUP($J395,食材表!$A:F,6,FALSE),0)+IFERROR($K396*VLOOKUP($J396,食材表!$A:F,6,FALSE),0)+IFERROR($K397*VLOOKUP($J397,食材表!$A:F,6,FALSE),0)</f>
        <v>0.24000000000000002</v>
      </c>
      <c r="P395" s="342">
        <f>IFERROR($I395*VLOOKUP($H395,食材表!$A:G,7,FALSE),0)+IFERROR($I396*VLOOKUP($H396,食材表!$A:G,7,FALSE),0)+IFERROR($I397*VLOOKUP($H397,食材表!$A:G,7,FALSE),0)+IFERROR($K395*VLOOKUP($J395,食材表!$A:G,7,FALSE),0)+IFERROR($K396*VLOOKUP($J396,食材表!$A:G,7,FALSE),0)+IFERROR($K397*VLOOKUP($J397,食材表!$A:G,7,FALSE),0)</f>
        <v>0</v>
      </c>
      <c r="Q395" s="342">
        <f>IFERROR($I395*VLOOKUP($H395,食材表!$A:H,8,FALSE),0)+IFERROR($I396*VLOOKUP($H396,食材表!$A:H,8,FALSE),0)+IFERROR($I397*VLOOKUP($H397,食材表!$A:H,8,FALSE),0)+IFERROR($K395*VLOOKUP($J395,食材表!$A:H,8,FALSE),0)+IFERROR($K396*VLOOKUP($J396,食材表!$A:H,8,FALSE),0)+IFERROR($K397*VLOOKUP($J397,食材表!$A:H,8,FALSE),0)</f>
        <v>0</v>
      </c>
      <c r="R395" s="342">
        <f>IFERROR($I395*VLOOKUP($H395,食材表!$A:I,9,FALSE),0)+IFERROR($I396*VLOOKUP($H396,食材表!$A:I,9,FALSE),0)+IFERROR($I397*VLOOKUP($H397,食材表!$A:I,9,FALSE),0)+IFERROR($K395*VLOOKUP($J395,食材表!$A:I,9,FALSE),0)+IFERROR($K396*VLOOKUP($J396,食材表!$A:I,9,FALSE),0)+IFERROR($K397*VLOOKUP($J397,食材表!$A:I,9,FALSE),0)</f>
        <v>0</v>
      </c>
      <c r="S395" s="342">
        <f>SUM(L395*70+M395*75+N395*120+O395*25+P395*60+Q395*45+R395*4)</f>
        <v>98.914285714285711</v>
      </c>
    </row>
    <row r="396" spans="1:19">
      <c r="A396" s="33" t="str">
        <f>"2"&amp;+$B395</f>
        <v>2芋頭米粉湯</v>
      </c>
      <c r="B396" s="363"/>
      <c r="C396" s="31" t="s">
        <v>326</v>
      </c>
      <c r="D396" s="33">
        <v>0.1</v>
      </c>
      <c r="E396" s="31" t="s">
        <v>47</v>
      </c>
      <c r="F396" s="33">
        <v>0.6</v>
      </c>
      <c r="G396" s="353"/>
      <c r="H396" s="93" t="str">
        <f t="shared" ref="H396:H397" si="276">C396</f>
        <v>蝦米</v>
      </c>
      <c r="I396" s="86">
        <f>IFERROR(IF(LEN(D396)=LENB(D396),ROUND(LEFT(D396,2*LEN(D396)-LENB(D396))/$A$1,3),((ROUND(LEFT(D396,2*LEN(D396)-LENB(D396))/$A$1,3))*VLOOKUP(H396,食材表!$A:$B,2,FALSE))),"")</f>
        <v>2E-3</v>
      </c>
      <c r="J396" s="93" t="str">
        <f t="shared" ref="J396:J397" si="277">E396</f>
        <v>豬肉絲</v>
      </c>
      <c r="K396" s="86">
        <f>IFERROR(IF(LEN(F396)=LENB(F396),ROUND(LEFT(F396,2*LEN(F396)-LENB(F396))/$A$1,3),((ROUND(LEFT(F396,2*LEN(F396)-LENB(F396))/$A$1,3))*VLOOKUP(J396,食材表!$A:$B,2,FALSE))),"")</f>
        <v>1.2E-2</v>
      </c>
      <c r="L396" s="343"/>
      <c r="M396" s="343"/>
      <c r="N396" s="343"/>
      <c r="O396" s="343"/>
      <c r="P396" s="343"/>
      <c r="Q396" s="343"/>
      <c r="R396" s="343"/>
      <c r="S396" s="343"/>
    </row>
    <row r="397" spans="1:19">
      <c r="A397" s="33" t="str">
        <f>"3"&amp;+$B395</f>
        <v>3芋頭米粉湯</v>
      </c>
      <c r="B397" s="364"/>
      <c r="C397" s="28" t="s">
        <v>1055</v>
      </c>
      <c r="D397" s="36">
        <v>1</v>
      </c>
      <c r="E397" s="28" t="s">
        <v>169</v>
      </c>
      <c r="F397" s="8">
        <v>0.2</v>
      </c>
      <c r="G397" s="354"/>
      <c r="H397" s="92" t="str">
        <f t="shared" si="276"/>
        <v>芋頭塊</v>
      </c>
      <c r="I397" s="84">
        <f>IFERROR(IF(LEN(D397)=LENB(D397),ROUND(LEFT(D397,2*LEN(D397)-LENB(D397))/$A$1,3),((ROUND(LEFT(D397,2*LEN(D397)-LENB(D397))/$A$1,3))*VLOOKUP(H397,食材表!$A:$B,2,FALSE))),"")</f>
        <v>0.02</v>
      </c>
      <c r="J397" s="92" t="str">
        <f t="shared" si="277"/>
        <v>芹菜</v>
      </c>
      <c r="K397" s="85">
        <f>IFERROR(IF(LEN(F397)=LENB(F397),ROUND(LEFT(F397,2*LEN(F397)-LENB(F397))/$A$1,3),((ROUND(LEFT(F397,2*LEN(F397)-LENB(F397))/$A$1,3))*VLOOKUP(J397,食材表!$A:$B,2,FALSE))),"")</f>
        <v>4.0000000000000001E-3</v>
      </c>
      <c r="L397" s="344"/>
      <c r="M397" s="344"/>
      <c r="N397" s="344"/>
      <c r="O397" s="344"/>
      <c r="P397" s="344"/>
      <c r="Q397" s="344"/>
      <c r="R397" s="344"/>
      <c r="S397" s="344"/>
    </row>
    <row r="398" spans="1:19">
      <c r="A398" s="33" t="str">
        <f>"1"&amp;+$B398</f>
        <v>1米苔目湯</v>
      </c>
      <c r="B398" s="350" t="s">
        <v>230</v>
      </c>
      <c r="C398" s="60" t="s">
        <v>231</v>
      </c>
      <c r="D398" s="59">
        <v>3.6</v>
      </c>
      <c r="E398" s="75" t="s">
        <v>52</v>
      </c>
      <c r="F398" s="59">
        <v>0.3</v>
      </c>
      <c r="G398" s="352" t="str">
        <f>B398</f>
        <v>米苔目湯</v>
      </c>
      <c r="H398" s="91" t="str">
        <f>C398</f>
        <v>米苔目</v>
      </c>
      <c r="I398" s="83">
        <f>IFERROR(IF(LEN(D398)=LENB(D398),ROUND(LEFT(D398,2*LEN(D398)-LENB(D398))/$A$1,3),((ROUND(LEFT(D398,2*LEN(D398)-LENB(D398))/$A$1,3))*VLOOKUP(H398,食材表!$A:$B,2,FALSE))),"")</f>
        <v>7.1999999999999995E-2</v>
      </c>
      <c r="J398" s="91" t="str">
        <f>E398</f>
        <v>生香菇</v>
      </c>
      <c r="K398" s="83">
        <f>IFERROR(IF(LEN(F398)=LENB(F398),ROUND(LEFT(F398,2*LEN(F398)-LENB(F398))/$A$1,3),((ROUND(LEFT(F398,2*LEN(F398)-LENB(F398))/$A$1,3))*VLOOKUP(J398,食材表!$A:$B,2,FALSE))),"")</f>
        <v>6.0000000000000001E-3</v>
      </c>
      <c r="L398" s="342">
        <f>IFERROR($I398*VLOOKUP($H398,食材表!$A:C,3,FALSE),0)+IFERROR($I399*VLOOKUP($H399,食材表!$A:C,3,FALSE),0)+IFERROR($I400*VLOOKUP($H400,食材表!$A:C,3,FALSE),0)+IFERROR($K398*VLOOKUP($J398,食材表!$A:C,3,FALSE),0)+IFERROR($K399*VLOOKUP($J399,食材表!$A:C,3,FALSE),0)+IFERROR($K400*VLOOKUP($J400,食材表!$A:C,3,FALSE),0)</f>
        <v>1.44</v>
      </c>
      <c r="M398" s="342">
        <f>IFERROR($I398*VLOOKUP($H398,食材表!$A:D,4,FALSE),0)+IFERROR($I399*VLOOKUP($H399,食材表!$A:D,4,FALSE),0)+IFERROR($I400*VLOOKUP($H400,食材表!$A:D,4,FALSE),0)+IFERROR($K398*VLOOKUP($J398,食材表!$A:D,4,FALSE),0)+IFERROR($K399*VLOOKUP($J399,食材表!$A:D,4,FALSE),0)+IFERROR($K400*VLOOKUP($J400,食材表!$A:D,4,FALSE),0)</f>
        <v>0</v>
      </c>
      <c r="N398" s="342">
        <f>IFERROR($I398*VLOOKUP($H398,食材表!$A:E,5,FALSE),0)+IFERROR($I399*VLOOKUP($H399,食材表!$A:E,5,FALSE),0)+IFERROR($I400*VLOOKUP($H400,食材表!$A:E,5,FALSE),0)+IFERROR($K398*VLOOKUP($J398,食材表!$A:E,5,FALSE),0)+IFERROR($K399*VLOOKUP($J399,食材表!$A:E,5,FALSE),0)+IFERROR($K400*VLOOKUP($J400,食材表!$A:E,5,FALSE),0)</f>
        <v>0</v>
      </c>
      <c r="O398" s="342">
        <f>IFERROR($I398*VLOOKUP($H398,食材表!$A:F,6,FALSE),0)+IFERROR($I399*VLOOKUP($H399,食材表!$A:F,6,FALSE),0)+IFERROR($I400*VLOOKUP($H400,食材表!$A:F,6,FALSE),0)+IFERROR($K398*VLOOKUP($J398,食材表!$A:F,6,FALSE),0)+IFERROR($K399*VLOOKUP($J399,食材表!$A:F,6,FALSE),0)+IFERROR($K400*VLOOKUP($J400,食材表!$A:F,6,FALSE),0)</f>
        <v>0.3</v>
      </c>
      <c r="P398" s="342">
        <f>IFERROR($I398*VLOOKUP($H398,食材表!$A:G,7,FALSE),0)+IFERROR($I399*VLOOKUP($H399,食材表!$A:G,7,FALSE),0)+IFERROR($I400*VLOOKUP($H400,食材表!$A:G,7,FALSE),0)+IFERROR($K398*VLOOKUP($J398,食材表!$A:G,7,FALSE),0)+IFERROR($K399*VLOOKUP($J399,食材表!$A:G,7,FALSE),0)+IFERROR($K400*VLOOKUP($J400,食材表!$A:G,7,FALSE),0)</f>
        <v>0</v>
      </c>
      <c r="Q398" s="342">
        <f>IFERROR($I398*VLOOKUP($H398,食材表!$A:H,8,FALSE),0)+IFERROR($I399*VLOOKUP($H399,食材表!$A:H,8,FALSE),0)+IFERROR($I400*VLOOKUP($H400,食材表!$A:H,8,FALSE),0)+IFERROR($K398*VLOOKUP($J398,食材表!$A:H,8,FALSE),0)+IFERROR($K399*VLOOKUP($J399,食材表!$A:H,8,FALSE),0)+IFERROR($K400*VLOOKUP($J400,食材表!$A:H,8,FALSE),0)</f>
        <v>0</v>
      </c>
      <c r="R398" s="342">
        <f>IFERROR($I398*VLOOKUP($H398,食材表!$A:I,9,FALSE),0)+IFERROR($I399*VLOOKUP($H399,食材表!$A:I,9,FALSE),0)+IFERROR($I400*VLOOKUP($H400,食材表!$A:I,9,FALSE),0)+IFERROR($K398*VLOOKUP($J398,食材表!$A:I,9,FALSE),0)+IFERROR($K399*VLOOKUP($J399,食材表!$A:I,9,FALSE),0)+IFERROR($K400*VLOOKUP($J400,食材表!$A:I,9,FALSE),0)</f>
        <v>0</v>
      </c>
      <c r="S398" s="342">
        <f>SUM(L398*70+M398*75+N398*120+O398*25+P398*60+Q398*45+R398*4)</f>
        <v>108.3</v>
      </c>
    </row>
    <row r="399" spans="1:19">
      <c r="A399" s="33" t="str">
        <f>"2"&amp;+$B398</f>
        <v>2米苔目湯</v>
      </c>
      <c r="B399" s="350"/>
      <c r="C399" s="22" t="s">
        <v>46</v>
      </c>
      <c r="D399" s="36">
        <v>1</v>
      </c>
      <c r="E399" s="23" t="s">
        <v>169</v>
      </c>
      <c r="F399" s="41">
        <v>0.2</v>
      </c>
      <c r="G399" s="353"/>
      <c r="H399" s="93" t="str">
        <f t="shared" ref="H399:H400" si="278">C399</f>
        <v>高麗菜</v>
      </c>
      <c r="I399" s="86">
        <f>IFERROR(IF(LEN(D399)=LENB(D399),ROUND(LEFT(D399,2*LEN(D399)-LENB(D399))/$A$1,3),((ROUND(LEFT(D399,2*LEN(D399)-LENB(D399))/$A$1,3))*VLOOKUP(H399,食材表!$A:$B,2,FALSE))),"")</f>
        <v>0.02</v>
      </c>
      <c r="J399" s="93" t="str">
        <f t="shared" ref="J399:J400" si="279">E399</f>
        <v>芹菜</v>
      </c>
      <c r="K399" s="86">
        <f>IFERROR(IF(LEN(F399)=LENB(F399),ROUND(LEFT(F399,2*LEN(F399)-LENB(F399))/$A$1,3),((ROUND(LEFT(F399,2*LEN(F399)-LENB(F399))/$A$1,3))*VLOOKUP(J399,食材表!$A:$B,2,FALSE))),"")</f>
        <v>4.0000000000000001E-3</v>
      </c>
      <c r="L399" s="343"/>
      <c r="M399" s="343"/>
      <c r="N399" s="343"/>
      <c r="O399" s="343"/>
      <c r="P399" s="343"/>
      <c r="Q399" s="343"/>
      <c r="R399" s="343"/>
      <c r="S399" s="343"/>
    </row>
    <row r="400" spans="1:19">
      <c r="A400" s="33" t="str">
        <f>"3"&amp;+$B398</f>
        <v>3米苔目湯</v>
      </c>
      <c r="B400" s="351"/>
      <c r="C400" s="26" t="s">
        <v>198</v>
      </c>
      <c r="D400" s="37">
        <v>0.1</v>
      </c>
      <c r="E400" s="25"/>
      <c r="F400" s="37"/>
      <c r="G400" s="354"/>
      <c r="H400" s="92" t="str">
        <f t="shared" si="278"/>
        <v>蝦皮</v>
      </c>
      <c r="I400" s="84">
        <f>IFERROR(IF(LEN(D400)=LENB(D400),ROUND(LEFT(D400,2*LEN(D400)-LENB(D400))/$A$1,3),((ROUND(LEFT(D400,2*LEN(D400)-LENB(D400))/$A$1,3))*VLOOKUP(H400,食材表!$A:$B,2,FALSE))),"")</f>
        <v>2E-3</v>
      </c>
      <c r="J400" s="92">
        <f t="shared" si="279"/>
        <v>0</v>
      </c>
      <c r="K400" s="85" t="str">
        <f>IFERROR(IF(LEN(F400)=LENB(F400),ROUND(LEFT(F400,2*LEN(F400)-LENB(F400))/$A$1,3),((ROUND(LEFT(F400,2*LEN(F400)-LENB(F400))/$A$1,3))*VLOOKUP(J400,食材表!$A:$B,2,FALSE))),"")</f>
        <v/>
      </c>
      <c r="L400" s="344"/>
      <c r="M400" s="344"/>
      <c r="N400" s="344"/>
      <c r="O400" s="344"/>
      <c r="P400" s="344"/>
      <c r="Q400" s="344"/>
      <c r="R400" s="344"/>
      <c r="S400" s="344"/>
    </row>
    <row r="401" spans="1:19">
      <c r="A401" s="33" t="str">
        <f>"1"&amp;+$B401</f>
        <v>1麻醬麵</v>
      </c>
      <c r="B401" s="377" t="s">
        <v>963</v>
      </c>
      <c r="C401" s="60" t="s">
        <v>164</v>
      </c>
      <c r="D401" s="59">
        <v>4.2</v>
      </c>
      <c r="E401" s="22" t="s">
        <v>964</v>
      </c>
      <c r="F401" s="36">
        <v>0.3</v>
      </c>
      <c r="G401" s="374" t="str">
        <f>B401</f>
        <v>麻醬麵</v>
      </c>
      <c r="H401" s="91" t="str">
        <f>C401</f>
        <v>細烏龍麵</v>
      </c>
      <c r="I401" s="83">
        <f>IFERROR(IF(LEN(D401)=LENB(D401),ROUND(LEFT(D401,2*LEN(D401)-LENB(D401))/$A$1,3),((ROUND(LEFT(D401,2*LEN(D401)-LENB(D401))/$A$1,3))*VLOOKUP(H401,食材表!$A:$B,2,FALSE))),"")</f>
        <v>8.4000000000000005E-2</v>
      </c>
      <c r="J401" s="91" t="str">
        <f>E401</f>
        <v>蔥</v>
      </c>
      <c r="K401" s="83">
        <f>IFERROR(IF(LEN(F401)=LENB(F401),ROUND(LEFT(F401,2*LEN(F401)-LENB(F401))/$A$1,3),((ROUND(LEFT(F401,2*LEN(F401)-LENB(F401))/$A$1,3))*VLOOKUP(J401,食材表!$A:$B,2,FALSE))),"")</f>
        <v>6.0000000000000001E-3</v>
      </c>
      <c r="L401" s="342">
        <f>IFERROR($I401*VLOOKUP($H401,食材表!$A:C,3,FALSE),0)+IFERROR($I402*VLOOKUP($H402,食材表!$A:C,3,FALSE),0)+IFERROR($I403*VLOOKUP($H403,食材表!$A:C,3,FALSE),0)+IFERROR($K401*VLOOKUP($J401,食材表!$A:C,3,FALSE),0)+IFERROR($K402*VLOOKUP($J402,食材表!$A:C,3,FALSE),0)+IFERROR($K403*VLOOKUP($J403,食材表!$A:C,3,FALSE),0)</f>
        <v>1.4000000000000001</v>
      </c>
      <c r="M401" s="342">
        <f>IFERROR($I401*VLOOKUP($H401,食材表!$A:D,4,FALSE),0)+IFERROR($I402*VLOOKUP($H402,食材表!$A:D,4,FALSE),0)+IFERROR($I403*VLOOKUP($H403,食材表!$A:D,4,FALSE),0)+IFERROR($K401*VLOOKUP($J401,食材表!$A:D,4,FALSE),0)+IFERROR($K402*VLOOKUP($J402,食材表!$A:D,4,FALSE),0)+IFERROR($K403*VLOOKUP($J403,食材表!$A:D,4,FALSE),0)</f>
        <v>0</v>
      </c>
      <c r="N401" s="342">
        <f>IFERROR($I401*VLOOKUP($H401,食材表!$A:E,5,FALSE),0)+IFERROR($I402*VLOOKUP($H402,食材表!$A:E,5,FALSE),0)+IFERROR($I403*VLOOKUP($H403,食材表!$A:E,5,FALSE),0)+IFERROR($K401*VLOOKUP($J401,食材表!$A:E,5,FALSE),0)+IFERROR($K402*VLOOKUP($J402,食材表!$A:E,5,FALSE),0)+IFERROR($K403*VLOOKUP($J403,食材表!$A:E,5,FALSE),0)</f>
        <v>0</v>
      </c>
      <c r="O401" s="342">
        <f>IFERROR($I401*VLOOKUP($H401,食材表!$A:F,6,FALSE),0)+IFERROR($I402*VLOOKUP($H402,食材表!$A:F,6,FALSE),0)+IFERROR($I403*VLOOKUP($H403,食材表!$A:F,6,FALSE),0)+IFERROR($K401*VLOOKUP($J401,食材表!$A:F,6,FALSE),0)+IFERROR($K402*VLOOKUP($J402,食材表!$A:F,6,FALSE),0)+IFERROR($K403*VLOOKUP($J403,食材表!$A:F,6,FALSE),0)</f>
        <v>0.16</v>
      </c>
      <c r="P401" s="342">
        <f>IFERROR($I401*VLOOKUP($H401,食材表!$A:G,7,FALSE),0)+IFERROR($I402*VLOOKUP($H402,食材表!$A:G,7,FALSE),0)+IFERROR($I403*VLOOKUP($H403,食材表!$A:G,7,FALSE),0)+IFERROR($K401*VLOOKUP($J401,食材表!$A:G,7,FALSE),0)+IFERROR($K402*VLOOKUP($J402,食材表!$A:G,7,FALSE),0)+IFERROR($K403*VLOOKUP($J403,食材表!$A:G,7,FALSE),0)</f>
        <v>0</v>
      </c>
      <c r="Q401" s="342">
        <f>IFERROR($I401*VLOOKUP($H401,食材表!$A:H,8,FALSE),0)+IFERROR($I402*VLOOKUP($H402,食材表!$A:H,8,FALSE),0)+IFERROR($I403*VLOOKUP($H403,食材表!$A:H,8,FALSE),0)+IFERROR($K401*VLOOKUP($J401,食材表!$A:H,8,FALSE),0)+IFERROR($K402*VLOOKUP($J402,食材表!$A:H,8,FALSE),0)+IFERROR($K403*VLOOKUP($J403,食材表!$A:H,8,FALSE),0)</f>
        <v>0</v>
      </c>
      <c r="R401" s="342">
        <f>IFERROR($I401*VLOOKUP($H401,食材表!$A:I,9,FALSE),0)+IFERROR($I402*VLOOKUP($H402,食材表!$A:I,9,FALSE),0)+IFERROR($I403*VLOOKUP($H403,食材表!$A:I,9,FALSE),0)+IFERROR($K401*VLOOKUP($J401,食材表!$A:I,9,FALSE),0)+IFERROR($K402*VLOOKUP($J402,食材表!$A:I,9,FALSE),0)+IFERROR($K403*VLOOKUP($J403,食材表!$A:I,9,FALSE),0)</f>
        <v>0</v>
      </c>
      <c r="S401" s="342">
        <f>SUM(L401*70+M401*75+N401*120+O401*25+P401*60+Q401*45+R401*4)</f>
        <v>102.00000000000001</v>
      </c>
    </row>
    <row r="402" spans="1:19">
      <c r="A402" s="33" t="str">
        <f>"2"&amp;+$B401</f>
        <v>2麻醬麵</v>
      </c>
      <c r="B402" s="378"/>
      <c r="C402" s="22" t="s">
        <v>965</v>
      </c>
      <c r="D402" s="36">
        <v>0.8</v>
      </c>
      <c r="E402" s="22" t="s">
        <v>165</v>
      </c>
      <c r="F402" s="36">
        <v>0.6</v>
      </c>
      <c r="G402" s="375"/>
      <c r="H402" s="93" t="str">
        <f t="shared" ref="H402:H403" si="280">C402</f>
        <v>芝麻醬</v>
      </c>
      <c r="I402" s="86">
        <f>13/$A$1</f>
        <v>0.26</v>
      </c>
      <c r="J402" s="93" t="str">
        <f t="shared" ref="J402:J403" si="281">E402</f>
        <v>小白菜</v>
      </c>
      <c r="K402" s="86">
        <f>IFERROR(IF(LEN(F402)=LENB(F402),ROUND(LEFT(F402,2*LEN(F402)-LENB(F402))/$A$1,3),((ROUND(LEFT(F402,2*LEN(F402)-LENB(F402))/$A$1,3))*VLOOKUP(J402,食材表!$A:$B,2,FALSE))),"")</f>
        <v>1.2E-2</v>
      </c>
      <c r="L402" s="343"/>
      <c r="M402" s="343"/>
      <c r="N402" s="343"/>
      <c r="O402" s="343"/>
      <c r="P402" s="343"/>
      <c r="Q402" s="343"/>
      <c r="R402" s="343"/>
      <c r="S402" s="343"/>
    </row>
    <row r="403" spans="1:19">
      <c r="A403" s="33" t="str">
        <f>"3"&amp;+$B401</f>
        <v>3麻醬麵</v>
      </c>
      <c r="B403" s="379"/>
      <c r="C403" s="26" t="s">
        <v>90</v>
      </c>
      <c r="D403" s="37">
        <v>0.2</v>
      </c>
      <c r="E403" s="26" t="s">
        <v>389</v>
      </c>
      <c r="F403" s="37" t="s">
        <v>106</v>
      </c>
      <c r="G403" s="376"/>
      <c r="H403" s="92" t="str">
        <f t="shared" si="280"/>
        <v>蒜泥</v>
      </c>
      <c r="I403" s="84">
        <f>IFERROR(IF(LEN(D403)=LENB(D403),ROUND(LEFT(D403,2*LEN(D403)-LENB(D403))/$A$1,3),((ROUND(LEFT(D403,2*LEN(D403)-LENB(D403))/$A$1,3))*VLOOKUP(H403,食材表!$A:$B,2,FALSE))),"")</f>
        <v>4.0000000000000001E-3</v>
      </c>
      <c r="J403" s="92" t="str">
        <f t="shared" si="281"/>
        <v>甜麵醬</v>
      </c>
      <c r="K403" s="85">
        <f>IFERROR(IF(LEN(F403)=LENB(F403),ROUND(LEFT(F403,2*LEN(F403)-LENB(F403))/$A$1,3),((ROUND(LEFT(F403,2*LEN(F403)-LENB(F403))/$A$1,3))*VLOOKUP(J403,食材表!$A:$B,2,FALSE))),"")</f>
        <v>7.1999999999999998E-3</v>
      </c>
      <c r="L403" s="344"/>
      <c r="M403" s="344"/>
      <c r="N403" s="344"/>
      <c r="O403" s="344"/>
      <c r="P403" s="344"/>
      <c r="Q403" s="344"/>
      <c r="R403" s="344"/>
      <c r="S403" s="344"/>
    </row>
    <row r="404" spans="1:19">
      <c r="A404" s="33" t="str">
        <f>"1"&amp;+$B404</f>
        <v>1炸醬麵</v>
      </c>
      <c r="B404" s="350" t="s">
        <v>382</v>
      </c>
      <c r="C404" s="60" t="s">
        <v>284</v>
      </c>
      <c r="D404" s="59">
        <v>4.2</v>
      </c>
      <c r="E404" s="22" t="s">
        <v>383</v>
      </c>
      <c r="F404" s="66" t="s">
        <v>1084</v>
      </c>
      <c r="G404" s="352" t="str">
        <f t="shared" ref="G404" si="282">B404</f>
        <v>炸醬麵</v>
      </c>
      <c r="H404" s="91" t="str">
        <f>C404</f>
        <v>細烏龍麵</v>
      </c>
      <c r="I404" s="83">
        <f>IFERROR(IF(LEN(D404)=LENB(D404),ROUND(LEFT(D404,2*LEN(D404)-LENB(D404))/$A$1,3),((ROUND(LEFT(D404,2*LEN(D404)-LENB(D404))/$A$1,3))*VLOOKUP(H404,食材表!$A:$B,2,FALSE))),"")</f>
        <v>8.4000000000000005E-2</v>
      </c>
      <c r="J404" s="91" t="str">
        <f>E404</f>
        <v>甜麵醬</v>
      </c>
      <c r="K404" s="83">
        <f>IFERROR(IF(LEN(F404)=LENB(F404),ROUND(LEFT(F404,2*LEN(F404)-LENB(F404))/$A$1,3),((ROUND(LEFT(F404,2*LEN(F404)-LENB(F404))/$A$1,3))*VLOOKUP(J404,食材表!$A:$B,2,FALSE))),"")</f>
        <v>9.5999999999999992E-3</v>
      </c>
      <c r="L404" s="342">
        <f>IFERROR($I404*VLOOKUP($H404,食材表!$A:C,3,FALSE),0)+IFERROR($I405*VLOOKUP($H405,食材表!$A:C,3,FALSE),0)+IFERROR($I406*VLOOKUP($H406,食材表!$A:C,3,FALSE),0)+IFERROR($K404*VLOOKUP($J404,食材表!$A:C,3,FALSE),0)+IFERROR($K405*VLOOKUP($J405,食材表!$A:C,3,FALSE),0)+IFERROR($K406*VLOOKUP($J406,食材表!$A:C,3,FALSE),0)</f>
        <v>1.4000000000000001</v>
      </c>
      <c r="M404" s="342">
        <f>IFERROR($I404*VLOOKUP($H404,食材表!$A:D,4,FALSE),0)+IFERROR($I405*VLOOKUP($H405,食材表!$A:D,4,FALSE),0)+IFERROR($I406*VLOOKUP($H406,食材表!$A:D,4,FALSE),0)+IFERROR($K404*VLOOKUP($J404,食材表!$A:D,4,FALSE),0)+IFERROR($K405*VLOOKUP($J405,食材表!$A:D,4,FALSE),0)+IFERROR($K406*VLOOKUP($J406,食材表!$A:D,4,FALSE),0)</f>
        <v>0.8571428571428571</v>
      </c>
      <c r="N404" s="342">
        <f>IFERROR($I404*VLOOKUP($H404,食材表!$A:E,5,FALSE),0)+IFERROR($I405*VLOOKUP($H405,食材表!$A:E,5,FALSE),0)+IFERROR($I406*VLOOKUP($H406,食材表!$A:E,5,FALSE),0)+IFERROR($K404*VLOOKUP($J404,食材表!$A:E,5,FALSE),0)+IFERROR($K405*VLOOKUP($J405,食材表!$A:E,5,FALSE),0)+IFERROR($K406*VLOOKUP($J406,食材表!$A:E,5,FALSE),0)</f>
        <v>0</v>
      </c>
      <c r="O404" s="342">
        <f>IFERROR($I404*VLOOKUP($H404,食材表!$A:F,6,FALSE),0)+IFERROR($I405*VLOOKUP($H405,食材表!$A:F,6,FALSE),0)+IFERROR($I406*VLOOKUP($H406,食材表!$A:F,6,FALSE),0)+IFERROR($K404*VLOOKUP($J404,食材表!$A:F,6,FALSE),0)+IFERROR($K405*VLOOKUP($J405,食材表!$A:F,6,FALSE),0)+IFERROR($K406*VLOOKUP($J406,食材表!$A:F,6,FALSE),0)</f>
        <v>0</v>
      </c>
      <c r="P404" s="342">
        <f>IFERROR($I404*VLOOKUP($H404,食材表!$A:G,7,FALSE),0)+IFERROR($I405*VLOOKUP($H405,食材表!$A:G,7,FALSE),0)+IFERROR($I406*VLOOKUP($H406,食材表!$A:G,7,FALSE),0)+IFERROR($K404*VLOOKUP($J404,食材表!$A:G,7,FALSE),0)+IFERROR($K405*VLOOKUP($J405,食材表!$A:G,7,FALSE),0)+IFERROR($K406*VLOOKUP($J406,食材表!$A:G,7,FALSE),0)</f>
        <v>0</v>
      </c>
      <c r="Q404" s="342">
        <f>IFERROR($I404*VLOOKUP($H404,食材表!$A:H,8,FALSE),0)+IFERROR($I405*VLOOKUP($H405,食材表!$A:H,8,FALSE),0)+IFERROR($I406*VLOOKUP($H406,食材表!$A:H,8,FALSE),0)+IFERROR($K404*VLOOKUP($J404,食材表!$A:H,8,FALSE),0)+IFERROR($K405*VLOOKUP($J405,食材表!$A:H,8,FALSE),0)+IFERROR($K406*VLOOKUP($J406,食材表!$A:H,8,FALSE),0)</f>
        <v>0</v>
      </c>
      <c r="R404" s="342">
        <f>IFERROR($I404*VLOOKUP($H404,食材表!$A:I,9,FALSE),0)+IFERROR($I405*VLOOKUP($H405,食材表!$A:I,9,FALSE),0)+IFERROR($I406*VLOOKUP($H406,食材表!$A:I,9,FALSE),0)+IFERROR($K404*VLOOKUP($J404,食材表!$A:I,9,FALSE),0)+IFERROR($K405*VLOOKUP($J405,食材表!$A:I,9,FALSE),0)+IFERROR($K406*VLOOKUP($J406,食材表!$A:I,9,FALSE),0)</f>
        <v>0</v>
      </c>
      <c r="S404" s="342">
        <f t="shared" ref="S404" si="283">SUM(L404*70+M404*75+N404*120+O404*25+P404*60+Q404*45+R404*4)</f>
        <v>162.28571428571428</v>
      </c>
    </row>
    <row r="405" spans="1:19">
      <c r="A405" s="33" t="str">
        <f>"2"&amp;+$B404</f>
        <v>2炸醬麵</v>
      </c>
      <c r="B405" s="383"/>
      <c r="C405" s="45" t="s">
        <v>354</v>
      </c>
      <c r="D405" s="46">
        <v>0.9</v>
      </c>
      <c r="E405" s="100" t="s">
        <v>384</v>
      </c>
      <c r="F405" s="66" t="s">
        <v>1085</v>
      </c>
      <c r="G405" s="353"/>
      <c r="H405" s="93" t="str">
        <f>C405</f>
        <v>豬絞肉</v>
      </c>
      <c r="I405" s="86">
        <f>IFERROR(IF(LEN(D405)=LENB(D405),ROUND(LEFT(D405,2*LEN(D405)-LENB(D405))/$A$1,3),((ROUND(LEFT(D405,2*LEN(D405)-LENB(D405))/$A$1,3))*VLOOKUP(H405,食材表!$A:$B,2,FALSE))),"")</f>
        <v>1.7999999999999999E-2</v>
      </c>
      <c r="J405" s="93" t="str">
        <f>E405</f>
        <v>豆瓣醬(不辣的)</v>
      </c>
      <c r="K405" s="86">
        <f>IFERROR(IF(LEN(F405)=LENB(F405),ROUND(LEFT(F405,2*LEN(F405)-LENB(F405))/$A$1,3),((ROUND(LEFT(F405,2*LEN(F405)-LENB(F405))/$A$1,3))*VLOOKUP(J405,食材表!$A:$B,2,FALSE))),"")</f>
        <v>4.7999999999999996E-3</v>
      </c>
      <c r="L405" s="343"/>
      <c r="M405" s="343"/>
      <c r="N405" s="343"/>
      <c r="O405" s="343"/>
      <c r="P405" s="343"/>
      <c r="Q405" s="343"/>
      <c r="R405" s="343"/>
      <c r="S405" s="343"/>
    </row>
    <row r="406" spans="1:19">
      <c r="A406" s="33" t="str">
        <f>"3"&amp;+$B404</f>
        <v>3炸醬麵</v>
      </c>
      <c r="B406" s="351"/>
      <c r="C406" s="26" t="s">
        <v>385</v>
      </c>
      <c r="D406" s="36">
        <v>0.6</v>
      </c>
      <c r="E406" s="26" t="s">
        <v>386</v>
      </c>
      <c r="F406" s="47">
        <v>0.8</v>
      </c>
      <c r="G406" s="354"/>
      <c r="H406" s="92" t="str">
        <f>C406</f>
        <v>豆干丁</v>
      </c>
      <c r="I406" s="84">
        <f>IFERROR(IF(LEN(D406)=LENB(D406),ROUND(LEFT(D406,2*LEN(D406)-LENB(D406))/$A$1,3),((ROUND(LEFT(D406,2*LEN(D406)-LENB(D406))/$A$1,3))*VLOOKUP(H406,食材表!$A:$B,2,FALSE))),"")</f>
        <v>1.2E-2</v>
      </c>
      <c r="J406" s="92" t="str">
        <f>E406</f>
        <v>小黃瓜</v>
      </c>
      <c r="K406" s="85">
        <f>IFERROR(IF(LEN(F406)=LENB(F406),ROUND(LEFT(F406,2*LEN(F406)-LENB(F406))/$A$1,3),((ROUND(LEFT(F406,2*LEN(F406)-LENB(F406))/$A$1,3))*VLOOKUP(J406,食材表!$A:$B,2,FALSE))),"")</f>
        <v>1.6E-2</v>
      </c>
      <c r="L406" s="344"/>
      <c r="M406" s="344"/>
      <c r="N406" s="344"/>
      <c r="O406" s="344"/>
      <c r="P406" s="344"/>
      <c r="Q406" s="344"/>
      <c r="R406" s="344"/>
      <c r="S406" s="344"/>
    </row>
    <row r="407" spans="1:19">
      <c r="A407" s="33" t="str">
        <f>"1"&amp;+$B407</f>
        <v>1炒河粉</v>
      </c>
      <c r="B407" s="349" t="s">
        <v>1042</v>
      </c>
      <c r="C407" s="60" t="s">
        <v>1043</v>
      </c>
      <c r="D407" s="59">
        <v>4.2</v>
      </c>
      <c r="E407" s="22" t="s">
        <v>316</v>
      </c>
      <c r="F407" s="36">
        <v>0.3</v>
      </c>
      <c r="G407" s="352" t="str">
        <f>B407</f>
        <v>炒河粉</v>
      </c>
      <c r="H407" s="91" t="str">
        <f>C407</f>
        <v>粄條</v>
      </c>
      <c r="I407" s="83">
        <f>IFERROR(IF(LEN(D407)=LENB(D407),ROUND(LEFT(D407,2*LEN(D407)-LENB(D407))/$A$1,3),((ROUND(LEFT(D407,2*LEN(D407)-LENB(D407))/$A$1,3))*VLOOKUP(H407,食材表!$A:$B,2,FALSE))),"")</f>
        <v>8.4000000000000005E-2</v>
      </c>
      <c r="J407" s="91" t="str">
        <f>E407</f>
        <v>豆芽菜</v>
      </c>
      <c r="K407" s="83">
        <f>IFERROR(IF(LEN(F407)=LENB(F407),ROUND(LEFT(F407,2*LEN(F407)-LENB(F407))/$A$1,3),((ROUND(LEFT(F407,2*LEN(F407)-LENB(F407))/$A$1,3))*VLOOKUP(J407,食材表!$A:$B,2,FALSE))),"")</f>
        <v>6.0000000000000001E-3</v>
      </c>
      <c r="L407" s="342">
        <f>IFERROR($I407*VLOOKUP($H407,食材表!$A:C,3,FALSE),0)+IFERROR($I408*VLOOKUP($H408,食材表!$A:C,3,FALSE),0)+IFERROR($I409*VLOOKUP($H409,食材表!$A:C,3,FALSE),0)+IFERROR($K407*VLOOKUP($J407,食材表!$A:C,3,FALSE),0)+IFERROR($K408*VLOOKUP($J408,食材表!$A:C,3,FALSE),0)+IFERROR($K409*VLOOKUP($J409,食材表!$A:C,3,FALSE),0)</f>
        <v>0</v>
      </c>
      <c r="M407" s="342">
        <f>IFERROR($I407*VLOOKUP($H407,食材表!$A:D,4,FALSE),0)+IFERROR($I408*VLOOKUP($H408,食材表!$A:D,4,FALSE),0)+IFERROR($I409*VLOOKUP($H409,食材表!$A:D,4,FALSE),0)+IFERROR($K407*VLOOKUP($J407,食材表!$A:D,4,FALSE),0)+IFERROR($K408*VLOOKUP($J408,食材表!$A:D,4,FALSE),0)+IFERROR($K409*VLOOKUP($J409,食材表!$A:D,4,FALSE),0)</f>
        <v>0.34285714285714286</v>
      </c>
      <c r="N407" s="342">
        <f>IFERROR($I407*VLOOKUP($H407,食材表!$A:E,5,FALSE),0)+IFERROR($I408*VLOOKUP($H408,食材表!$A:E,5,FALSE),0)+IFERROR($I409*VLOOKUP($H409,食材表!$A:E,5,FALSE),0)+IFERROR($K407*VLOOKUP($J407,食材表!$A:E,5,FALSE),0)+IFERROR($K408*VLOOKUP($J408,食材表!$A:E,5,FALSE),0)+IFERROR($K409*VLOOKUP($J409,食材表!$A:E,5,FALSE),0)</f>
        <v>0</v>
      </c>
      <c r="O407" s="342">
        <f>IFERROR($I407*VLOOKUP($H407,食材表!$A:F,6,FALSE),0)+IFERROR($I408*VLOOKUP($H408,食材表!$A:F,6,FALSE),0)+IFERROR($I409*VLOOKUP($H409,食材表!$A:F,6,FALSE),0)+IFERROR($K407*VLOOKUP($J407,食材表!$A:F,6,FALSE),0)+IFERROR($K408*VLOOKUP($J408,食材表!$A:F,6,FALSE),0)+IFERROR($K409*VLOOKUP($J409,食材表!$A:F,6,FALSE),0)</f>
        <v>0.11</v>
      </c>
      <c r="P407" s="342">
        <f>IFERROR($I407*VLOOKUP($H407,食材表!$A:G,7,FALSE),0)+IFERROR($I408*VLOOKUP($H408,食材表!$A:G,7,FALSE),0)+IFERROR($I409*VLOOKUP($H409,食材表!$A:G,7,FALSE),0)+IFERROR($K407*VLOOKUP($J407,食材表!$A:G,7,FALSE),0)+IFERROR($K408*VLOOKUP($J408,食材表!$A:G,7,FALSE),0)+IFERROR($K409*VLOOKUP($J409,食材表!$A:G,7,FALSE),0)</f>
        <v>0</v>
      </c>
      <c r="Q407" s="342">
        <f>IFERROR($I407*VLOOKUP($H407,食材表!$A:H,8,FALSE),0)+IFERROR($I408*VLOOKUP($H408,食材表!$A:H,8,FALSE),0)+IFERROR($I409*VLOOKUP($H409,食材表!$A:H,8,FALSE),0)+IFERROR($K407*VLOOKUP($J407,食材表!$A:H,8,FALSE),0)+IFERROR($K408*VLOOKUP($J408,食材表!$A:H,8,FALSE),0)+IFERROR($K409*VLOOKUP($J409,食材表!$A:H,8,FALSE),0)</f>
        <v>0</v>
      </c>
      <c r="R407" s="342">
        <f>IFERROR($I407*VLOOKUP($H407,食材表!$A:I,9,FALSE),0)+IFERROR($I408*VLOOKUP($H408,食材表!$A:I,9,FALSE),0)+IFERROR($I409*VLOOKUP($H409,食材表!$A:I,9,FALSE),0)+IFERROR($K407*VLOOKUP($J407,食材表!$A:I,9,FALSE),0)+IFERROR($K408*VLOOKUP($J408,食材表!$A:I,9,FALSE),0)+IFERROR($K409*VLOOKUP($J409,食材表!$A:I,9,FALSE),0)</f>
        <v>0</v>
      </c>
      <c r="S407" s="342">
        <f>SUM(L407*70+M407*75+N407*120+O407*25+P407*60+Q407*45+R407*4)</f>
        <v>28.464285714285715</v>
      </c>
    </row>
    <row r="408" spans="1:19">
      <c r="A408" s="33" t="str">
        <f>"2"&amp;+$B407</f>
        <v>2炒河粉</v>
      </c>
      <c r="B408" s="350"/>
      <c r="C408" s="22" t="s">
        <v>188</v>
      </c>
      <c r="D408" s="36">
        <v>0.6</v>
      </c>
      <c r="E408" s="38" t="s">
        <v>1044</v>
      </c>
      <c r="F408" s="36" t="s">
        <v>295</v>
      </c>
      <c r="G408" s="353"/>
      <c r="H408" s="93" t="str">
        <f t="shared" ref="H408:H409" si="284">C408</f>
        <v>豬肉片</v>
      </c>
      <c r="I408" s="86">
        <f>IFERROR(IF(LEN(D408)=LENB(D408),ROUND(LEFT(D408,2*LEN(D408)-LENB(D408))/$A$1,3),((ROUND(LEFT(D408,2*LEN(D408)-LENB(D408))/$A$1,3))*VLOOKUP(H408,食材表!$A:$B,2,FALSE))),"")</f>
        <v>1.2E-2</v>
      </c>
      <c r="J408" s="93" t="str">
        <f t="shared" ref="J408:J409" si="285">E408</f>
        <v>素蠔油</v>
      </c>
      <c r="K408" s="86" t="str">
        <f>IFERROR(IF(LEN(F408)=LENB(F408),ROUND(LEFT(F408,2*LEN(F408)-LENB(F408))/$A$1,3),((ROUND(LEFT(F408,2*LEN(F408)-LENB(F408))/$A$1,3))*VLOOKUP(J408,食材表!$A:$B,2,FALSE))),"")</f>
        <v/>
      </c>
      <c r="L408" s="343"/>
      <c r="M408" s="343"/>
      <c r="N408" s="343"/>
      <c r="O408" s="343"/>
      <c r="P408" s="343"/>
      <c r="Q408" s="343"/>
      <c r="R408" s="343"/>
      <c r="S408" s="343"/>
    </row>
    <row r="409" spans="1:19">
      <c r="A409" s="33" t="str">
        <f>"3"&amp;+$B407</f>
        <v>3炒河粉</v>
      </c>
      <c r="B409" s="351"/>
      <c r="C409" s="26" t="s">
        <v>160</v>
      </c>
      <c r="D409" s="37" t="s">
        <v>958</v>
      </c>
      <c r="E409" s="26"/>
      <c r="F409" s="37"/>
      <c r="G409" s="354"/>
      <c r="H409" s="92" t="str">
        <f t="shared" si="284"/>
        <v>胡蘿蔔</v>
      </c>
      <c r="I409" s="84">
        <f>IFERROR(IF(LEN(D409)=LENB(D409),ROUND(LEFT(D409,2*LEN(D409)-LENB(D409))/$A$1,3),((ROUND(LEFT(D409,2*LEN(D409)-LENB(D409))/$A$1,3))*VLOOKUP(H409,食材表!$A:$B,2,FALSE))),"")</f>
        <v>5.0000000000000001E-3</v>
      </c>
      <c r="J409" s="92">
        <f t="shared" si="285"/>
        <v>0</v>
      </c>
      <c r="K409" s="85" t="str">
        <f>IFERROR(IF(LEN(F409)=LENB(F409),ROUND(LEFT(F409,2*LEN(F409)-LENB(F409))/$A$1,3),((ROUND(LEFT(F409,2*LEN(F409)-LENB(F409))/$A$1,3))*VLOOKUP(J409,食材表!$A:$B,2,FALSE))),"")</f>
        <v/>
      </c>
      <c r="L409" s="344"/>
      <c r="M409" s="344"/>
      <c r="N409" s="344"/>
      <c r="O409" s="344"/>
      <c r="P409" s="344"/>
      <c r="Q409" s="344"/>
      <c r="R409" s="344"/>
      <c r="S409" s="344"/>
    </row>
    <row r="410" spans="1:19">
      <c r="A410" s="33" t="str">
        <f>"1"&amp;+$B410</f>
        <v>1番茄蛋麵</v>
      </c>
      <c r="B410" s="349" t="s">
        <v>966</v>
      </c>
      <c r="C410" s="72" t="s">
        <v>243</v>
      </c>
      <c r="D410" s="59">
        <v>1.5</v>
      </c>
      <c r="E410" s="15" t="s">
        <v>165</v>
      </c>
      <c r="F410" s="59">
        <v>0.6</v>
      </c>
      <c r="G410" s="352" t="str">
        <f>B410</f>
        <v>番茄蛋麵</v>
      </c>
      <c r="H410" s="91" t="str">
        <f>C410</f>
        <v>番茄</v>
      </c>
      <c r="I410" s="83">
        <f>IFERROR(IF(LEN(D410)=LENB(D410),ROUND(LEFT(D410,2*LEN(D410)-LENB(D410))/$A$1,3),((ROUND(LEFT(D410,2*LEN(D410)-LENB(D410))/$A$1,3))*VLOOKUP(H410,食材表!$A:$B,2,FALSE))),"")</f>
        <v>0.03</v>
      </c>
      <c r="J410" s="91" t="str">
        <f>E410</f>
        <v>小白菜</v>
      </c>
      <c r="K410" s="83">
        <f>IFERROR(IF(LEN(F410)=LENB(F410),ROUND(LEFT(F410,2*LEN(F410)-LENB(F410))/$A$1,3),((ROUND(LEFT(F410,2*LEN(F410)-LENB(F410))/$A$1,3))*VLOOKUP(J410,食材表!$A:$B,2,FALSE))),"")</f>
        <v>1.2E-2</v>
      </c>
      <c r="L410" s="342">
        <f>IFERROR($I410*VLOOKUP($H410,食材表!$A:C,3,FALSE),0)+IFERROR($I411*VLOOKUP($H411,食材表!$A:C,3,FALSE),0)+IFERROR($I412*VLOOKUP($H412,食材表!$A:C,3,FALSE),0)+IFERROR($K410*VLOOKUP($J410,食材表!$A:C,3,FALSE),0)+IFERROR($K411*VLOOKUP($J411,食材表!$A:C,3,FALSE),0)+IFERROR($K412*VLOOKUP($J412,食材表!$A:C,3,FALSE),0)</f>
        <v>1.2</v>
      </c>
      <c r="M410" s="342">
        <f>IFERROR($I410*VLOOKUP($H410,食材表!$A:D,4,FALSE),0)+IFERROR($I411*VLOOKUP($H411,食材表!$A:D,4,FALSE),0)+IFERROR($I412*VLOOKUP($H412,食材表!$A:D,4,FALSE),0)+IFERROR($K410*VLOOKUP($J410,食材表!$A:D,4,FALSE),0)+IFERROR($K411*VLOOKUP($J411,食材表!$A:D,4,FALSE),0)+IFERROR($K412*VLOOKUP($J412,食材表!$A:D,4,FALSE),0)</f>
        <v>0.30769230769230771</v>
      </c>
      <c r="N410" s="342">
        <f>IFERROR($I410*VLOOKUP($H410,食材表!$A:E,5,FALSE),0)+IFERROR($I411*VLOOKUP($H411,食材表!$A:E,5,FALSE),0)+IFERROR($I412*VLOOKUP($H412,食材表!$A:E,5,FALSE),0)+IFERROR($K410*VLOOKUP($J410,食材表!$A:E,5,FALSE),0)+IFERROR($K411*VLOOKUP($J411,食材表!$A:E,5,FALSE),0)+IFERROR($K412*VLOOKUP($J412,食材表!$A:E,5,FALSE),0)</f>
        <v>0</v>
      </c>
      <c r="O410" s="342">
        <f>IFERROR($I410*VLOOKUP($H410,食材表!$A:F,6,FALSE),0)+IFERROR($I411*VLOOKUP($H411,食材表!$A:F,6,FALSE),0)+IFERROR($I412*VLOOKUP($H412,食材表!$A:F,6,FALSE),0)+IFERROR($K410*VLOOKUP($J410,食材表!$A:F,6,FALSE),0)+IFERROR($K411*VLOOKUP($J411,食材表!$A:F,6,FALSE),0)+IFERROR($K412*VLOOKUP($J412,食材表!$A:F,6,FALSE),0)</f>
        <v>0.16</v>
      </c>
      <c r="P410" s="342">
        <f>IFERROR($I410*VLOOKUP($H410,食材表!$A:G,7,FALSE),0)+IFERROR($I411*VLOOKUP($H411,食材表!$A:G,7,FALSE),0)+IFERROR($I412*VLOOKUP($H412,食材表!$A:G,7,FALSE),0)+IFERROR($K410*VLOOKUP($J410,食材表!$A:G,7,FALSE),0)+IFERROR($K411*VLOOKUP($J411,食材表!$A:G,7,FALSE),0)+IFERROR($K412*VLOOKUP($J412,食材表!$A:G,7,FALSE),0)</f>
        <v>0</v>
      </c>
      <c r="Q410" s="342">
        <f>IFERROR($I410*VLOOKUP($H410,食材表!$A:H,8,FALSE),0)+IFERROR($I411*VLOOKUP($H411,食材表!$A:H,8,FALSE),0)+IFERROR($I412*VLOOKUP($H412,食材表!$A:H,8,FALSE),0)+IFERROR($K410*VLOOKUP($J410,食材表!$A:H,8,FALSE),0)+IFERROR($K411*VLOOKUP($J411,食材表!$A:H,8,FALSE),0)+IFERROR($K412*VLOOKUP($J412,食材表!$A:H,8,FALSE),0)</f>
        <v>0</v>
      </c>
      <c r="R410" s="342">
        <f>IFERROR($I410*VLOOKUP($H410,食材表!$A:I,9,FALSE),0)+IFERROR($I411*VLOOKUP($H411,食材表!$A:I,9,FALSE),0)+IFERROR($I412*VLOOKUP($H412,食材表!$A:I,9,FALSE),0)+IFERROR($K410*VLOOKUP($J410,食材表!$A:I,9,FALSE),0)+IFERROR($K411*VLOOKUP($J411,食材表!$A:I,9,FALSE),0)+IFERROR($K412*VLOOKUP($J412,食材表!$A:I,9,FALSE),0)</f>
        <v>0</v>
      </c>
      <c r="S410" s="342">
        <f>SUM(L410*70+M410*75+N410*120+O410*25+P410*60+Q410*45+R410*4)</f>
        <v>111.07692307692308</v>
      </c>
    </row>
    <row r="411" spans="1:19">
      <c r="A411" s="33" t="str">
        <f>"2"&amp;+$B410</f>
        <v>2番茄蛋麵</v>
      </c>
      <c r="B411" s="350"/>
      <c r="C411" s="22" t="s">
        <v>48</v>
      </c>
      <c r="D411" s="33">
        <v>1</v>
      </c>
      <c r="E411" s="45" t="s">
        <v>83</v>
      </c>
      <c r="F411" s="36">
        <v>0.2</v>
      </c>
      <c r="G411" s="353"/>
      <c r="H411" s="93" t="str">
        <f t="shared" ref="H411:H412" si="286">C411</f>
        <v>雞蛋</v>
      </c>
      <c r="I411" s="86">
        <f>IFERROR(IF(LEN(D411)=LENB(D411),ROUND(LEFT(D411,2*LEN(D411)-LENB(D411))/$A$1,3),((ROUND(LEFT(D411,2*LEN(D411)-LENB(D411))/$A$1,3))*VLOOKUP(H411,食材表!$A:$B,2,FALSE))),"")</f>
        <v>0.02</v>
      </c>
      <c r="J411" s="93" t="str">
        <f t="shared" ref="J411:J412" si="287">E411</f>
        <v>木耳</v>
      </c>
      <c r="K411" s="86">
        <f>IFERROR(IF(LEN(F411)=LENB(F411),ROUND(LEFT(F411,2*LEN(F411)-LENB(F411))/$A$1,3),((ROUND(LEFT(F411,2*LEN(F411)-LENB(F411))/$A$1,3))*VLOOKUP(J411,食材表!$A:$B,2,FALSE))),"")</f>
        <v>4.0000000000000001E-3</v>
      </c>
      <c r="L411" s="343"/>
      <c r="M411" s="343"/>
      <c r="N411" s="343"/>
      <c r="O411" s="343"/>
      <c r="P411" s="343"/>
      <c r="Q411" s="343"/>
      <c r="R411" s="343"/>
      <c r="S411" s="343"/>
    </row>
    <row r="412" spans="1:19">
      <c r="A412" s="33" t="str">
        <f>"3"&amp;+$B410</f>
        <v>3番茄蛋麵</v>
      </c>
      <c r="B412" s="351"/>
      <c r="C412" s="26" t="s">
        <v>164</v>
      </c>
      <c r="D412" s="37">
        <v>3.6</v>
      </c>
      <c r="E412" s="14"/>
      <c r="F412" s="37"/>
      <c r="G412" s="354"/>
      <c r="H412" s="92" t="str">
        <f t="shared" si="286"/>
        <v>細烏龍麵</v>
      </c>
      <c r="I412" s="84">
        <f>IFERROR(IF(LEN(D412)=LENB(D412),ROUND(LEFT(D412,2*LEN(D412)-LENB(D412))/$A$1,3),((ROUND(LEFT(D412,2*LEN(D412)-LENB(D412))/$A$1,3))*VLOOKUP(H412,食材表!$A:$B,2,FALSE))),"")</f>
        <v>7.1999999999999995E-2</v>
      </c>
      <c r="J412" s="92">
        <f t="shared" si="287"/>
        <v>0</v>
      </c>
      <c r="K412" s="85" t="str">
        <f>IFERROR(IF(LEN(F412)=LENB(F412),ROUND(LEFT(F412,2*LEN(F412)-LENB(F412))/$A$1,3),((ROUND(LEFT(F412,2*LEN(F412)-LENB(F412))/$A$1,3))*VLOOKUP(J412,食材表!$A:$B,2,FALSE))),"")</f>
        <v/>
      </c>
      <c r="L412" s="344"/>
      <c r="M412" s="344"/>
      <c r="N412" s="344"/>
      <c r="O412" s="344"/>
      <c r="P412" s="344"/>
      <c r="Q412" s="344"/>
      <c r="R412" s="344"/>
      <c r="S412" s="344"/>
    </row>
    <row r="413" spans="1:19">
      <c r="A413" s="33" t="str">
        <f>"1"&amp;+$B413</f>
        <v>1番茄燴麵</v>
      </c>
      <c r="B413" s="389" t="s">
        <v>242</v>
      </c>
      <c r="C413" s="60" t="s">
        <v>164</v>
      </c>
      <c r="D413" s="59">
        <v>4</v>
      </c>
      <c r="E413" s="60" t="s">
        <v>100</v>
      </c>
      <c r="F413" s="36">
        <v>1.2</v>
      </c>
      <c r="G413" s="352" t="str">
        <f>B413</f>
        <v>番茄燴麵</v>
      </c>
      <c r="H413" s="91" t="str">
        <f>C413</f>
        <v>細烏龍麵</v>
      </c>
      <c r="I413" s="83">
        <f>IFERROR(IF(LEN(D413)=LENB(D413),ROUND(LEFT(D413,2*LEN(D413)-LENB(D413))/$A$1,3),((ROUND(LEFT(D413,2*LEN(D413)-LENB(D413))/$A$1,3))*VLOOKUP(H413,食材表!$A:$B,2,FALSE))),"")</f>
        <v>0.08</v>
      </c>
      <c r="J413" s="91" t="str">
        <f>E413</f>
        <v>板豆腐</v>
      </c>
      <c r="K413" s="83">
        <f>IFERROR(IF(LEN(F413)=LENB(F413),ROUND(LEFT(F413,2*LEN(F413)-LENB(F413))/$A$1,3),((ROUND(LEFT(F413,2*LEN(F413)-LENB(F413))/$A$1,3))*VLOOKUP(J413,食材表!$A:$B,2,FALSE))),"")</f>
        <v>2.4E-2</v>
      </c>
      <c r="L413" s="342">
        <f>IFERROR($I413*VLOOKUP($H413,食材表!$A:C,3,FALSE),0)+IFERROR($I414*VLOOKUP($H414,食材表!$A:C,3,FALSE),0)+IFERROR($I415*VLOOKUP($H415,食材表!$A:C,3,FALSE),0)+IFERROR($K413*VLOOKUP($J413,食材表!$A:C,3,FALSE),0)+IFERROR($K414*VLOOKUP($J414,食材表!$A:C,3,FALSE),0)+IFERROR($K415*VLOOKUP($J415,食材表!$A:C,3,FALSE),0)</f>
        <v>1.3333333333333335</v>
      </c>
      <c r="M413" s="342">
        <f>IFERROR($I413*VLOOKUP($H413,食材表!$A:D,4,FALSE),0)+IFERROR($I414*VLOOKUP($H414,食材表!$A:D,4,FALSE),0)+IFERROR($I415*VLOOKUP($H415,食材表!$A:D,4,FALSE),0)+IFERROR($K413*VLOOKUP($J413,食材表!$A:D,4,FALSE),0)+IFERROR($K414*VLOOKUP($J414,食材表!$A:D,4,FALSE),0)+IFERROR($K415*VLOOKUP($J415,食材表!$A:D,4,FALSE),0)</f>
        <v>0.3</v>
      </c>
      <c r="N413" s="342">
        <f>IFERROR($I413*VLOOKUP($H413,食材表!$A:E,5,FALSE),0)+IFERROR($I414*VLOOKUP($H414,食材表!$A:E,5,FALSE),0)+IFERROR($I415*VLOOKUP($H415,食材表!$A:E,5,FALSE),0)+IFERROR($K413*VLOOKUP($J413,食材表!$A:E,5,FALSE),0)+IFERROR($K414*VLOOKUP($J414,食材表!$A:E,5,FALSE),0)+IFERROR($K415*VLOOKUP($J415,食材表!$A:E,5,FALSE),0)</f>
        <v>0</v>
      </c>
      <c r="O413" s="342">
        <f>IFERROR($I413*VLOOKUP($H413,食材表!$A:F,6,FALSE),0)+IFERROR($I414*VLOOKUP($H414,食材表!$A:F,6,FALSE),0)+IFERROR($I415*VLOOKUP($H415,食材表!$A:F,6,FALSE),0)+IFERROR($K413*VLOOKUP($J413,食材表!$A:F,6,FALSE),0)+IFERROR($K414*VLOOKUP($J414,食材表!$A:F,6,FALSE),0)+IFERROR($K415*VLOOKUP($J415,食材表!$A:F,6,FALSE),0)</f>
        <v>0.16</v>
      </c>
      <c r="P413" s="342">
        <f>IFERROR($I413*VLOOKUP($H413,食材表!$A:G,7,FALSE),0)+IFERROR($I414*VLOOKUP($H414,食材表!$A:G,7,FALSE),0)+IFERROR($I415*VLOOKUP($H415,食材表!$A:G,7,FALSE),0)+IFERROR($K413*VLOOKUP($J413,食材表!$A:G,7,FALSE),0)+IFERROR($K414*VLOOKUP($J414,食材表!$A:G,7,FALSE),0)+IFERROR($K415*VLOOKUP($J415,食材表!$A:G,7,FALSE),0)</f>
        <v>0</v>
      </c>
      <c r="Q413" s="342">
        <f>IFERROR($I413*VLOOKUP($H413,食材表!$A:H,8,FALSE),0)+IFERROR($I414*VLOOKUP($H414,食材表!$A:H,8,FALSE),0)+IFERROR($I415*VLOOKUP($H415,食材表!$A:H,8,FALSE),0)+IFERROR($K413*VLOOKUP($J413,食材表!$A:H,8,FALSE),0)+IFERROR($K414*VLOOKUP($J414,食材表!$A:H,8,FALSE),0)+IFERROR($K415*VLOOKUP($J415,食材表!$A:H,8,FALSE),0)</f>
        <v>0</v>
      </c>
      <c r="R413" s="342">
        <f>IFERROR($I413*VLOOKUP($H413,食材表!$A:I,9,FALSE),0)+IFERROR($I414*VLOOKUP($H414,食材表!$A:I,9,FALSE),0)+IFERROR($I415*VLOOKUP($H415,食材表!$A:I,9,FALSE),0)+IFERROR($K413*VLOOKUP($J413,食材表!$A:I,9,FALSE),0)+IFERROR($K414*VLOOKUP($J414,食材表!$A:I,9,FALSE),0)+IFERROR($K415*VLOOKUP($J415,食材表!$A:I,9,FALSE),0)</f>
        <v>0</v>
      </c>
      <c r="S413" s="342">
        <f>SUM(L413*70+M413*75+N413*120+O413*25+P413*60+Q413*45+R413*4)</f>
        <v>119.83333333333334</v>
      </c>
    </row>
    <row r="414" spans="1:19">
      <c r="A414" s="33" t="str">
        <f>"2"&amp;+$B413</f>
        <v>2番茄燴麵</v>
      </c>
      <c r="B414" s="272"/>
      <c r="C414" s="22" t="s">
        <v>243</v>
      </c>
      <c r="D414" s="36">
        <v>1</v>
      </c>
      <c r="E414" s="22"/>
      <c r="F414" s="36"/>
      <c r="G414" s="353"/>
      <c r="H414" s="93" t="str">
        <f t="shared" ref="H414:H415" si="288">C414</f>
        <v>番茄</v>
      </c>
      <c r="I414" s="86">
        <f>IFERROR(IF(LEN(D414)=LENB(D414),ROUND(LEFT(D414,2*LEN(D414)-LENB(D414))/$A$1,3),((ROUND(LEFT(D414,2*LEN(D414)-LENB(D414))/$A$1,3))*VLOOKUP(H414,食材表!$A:$B,2,FALSE))),"")</f>
        <v>0.02</v>
      </c>
      <c r="J414" s="93">
        <f t="shared" ref="J414:J415" si="289">E414</f>
        <v>0</v>
      </c>
      <c r="K414" s="86" t="str">
        <f>IFERROR(IF(LEN(F414)=LENB(F414),ROUND(LEFT(F414,2*LEN(F414)-LENB(F414))/$A$1,3),((ROUND(LEFT(F414,2*LEN(F414)-LENB(F414))/$A$1,3))*VLOOKUP(J414,食材表!$A:$B,2,FALSE))),"")</f>
        <v/>
      </c>
      <c r="L414" s="343"/>
      <c r="M414" s="343"/>
      <c r="N414" s="343"/>
      <c r="O414" s="343"/>
      <c r="P414" s="343"/>
      <c r="Q414" s="343"/>
      <c r="R414" s="343"/>
      <c r="S414" s="343"/>
    </row>
    <row r="415" spans="1:19">
      <c r="A415" s="33" t="str">
        <f>"3"&amp;+$B413</f>
        <v>3番茄燴麵</v>
      </c>
      <c r="B415" s="273"/>
      <c r="C415" s="26" t="s">
        <v>165</v>
      </c>
      <c r="D415" s="37">
        <v>0.8</v>
      </c>
      <c r="E415" s="26"/>
      <c r="F415" s="37"/>
      <c r="G415" s="354"/>
      <c r="H415" s="92" t="str">
        <f t="shared" si="288"/>
        <v>小白菜</v>
      </c>
      <c r="I415" s="84">
        <f>IFERROR(IF(LEN(D415)=LENB(D415),ROUND(LEFT(D415,2*LEN(D415)-LENB(D415))/$A$1,3),((ROUND(LEFT(D415,2*LEN(D415)-LENB(D415))/$A$1,3))*VLOOKUP(H415,食材表!$A:$B,2,FALSE))),"")</f>
        <v>1.6E-2</v>
      </c>
      <c r="J415" s="92">
        <f t="shared" si="289"/>
        <v>0</v>
      </c>
      <c r="K415" s="85" t="str">
        <f>IFERROR(IF(LEN(F415)=LENB(F415),ROUND(LEFT(F415,2*LEN(F415)-LENB(F415))/$A$1,3),((ROUND(LEFT(F415,2*LEN(F415)-LENB(F415))/$A$1,3))*VLOOKUP(J415,食材表!$A:$B,2,FALSE))),"")</f>
        <v/>
      </c>
      <c r="L415" s="344"/>
      <c r="M415" s="344"/>
      <c r="N415" s="344"/>
      <c r="O415" s="344"/>
      <c r="P415" s="344"/>
      <c r="Q415" s="344"/>
      <c r="R415" s="344"/>
      <c r="S415" s="344"/>
    </row>
    <row r="416" spans="1:19">
      <c r="A416" s="33" t="str">
        <f>"1"&amp;+$B416</f>
        <v>1麵線羹</v>
      </c>
      <c r="B416" s="349" t="s">
        <v>150</v>
      </c>
      <c r="C416" s="60" t="s">
        <v>87</v>
      </c>
      <c r="D416" s="59">
        <v>1</v>
      </c>
      <c r="E416" s="60" t="s">
        <v>81</v>
      </c>
      <c r="F416" s="59">
        <v>0.2</v>
      </c>
      <c r="G416" s="352" t="str">
        <f>B416</f>
        <v>麵線羹</v>
      </c>
      <c r="H416" s="91" t="str">
        <f>C416</f>
        <v>紅麵線</v>
      </c>
      <c r="I416" s="83">
        <f>IFERROR(IF(LEN(D416)=LENB(D416),ROUND(LEFT(D416,2*LEN(D416)-LENB(D416))/$A$1,3),((ROUND(LEFT(D416,2*LEN(D416)-LENB(D416))/$A$1,3))*VLOOKUP(H416,食材表!$A:$B,2,FALSE))),"")</f>
        <v>0.02</v>
      </c>
      <c r="J416" s="91" t="str">
        <f>E416</f>
        <v>黑木耳</v>
      </c>
      <c r="K416" s="83">
        <f>IFERROR(IF(LEN(F416)=LENB(F416),ROUND(LEFT(F416,2*LEN(F416)-LENB(F416))/$A$1,3),((ROUND(LEFT(F416,2*LEN(F416)-LENB(F416))/$A$1,3))*VLOOKUP(J416,食材表!$A:$B,2,FALSE))),"")</f>
        <v>4.0000000000000001E-3</v>
      </c>
      <c r="L416" s="342">
        <f>IFERROR($I416*VLOOKUP($H416,食材表!$A:C,3,FALSE),0)+IFERROR($I417*VLOOKUP($H417,食材表!$A:C,3,FALSE),0)+IFERROR($I418*VLOOKUP($H418,食材表!$A:C,3,FALSE),0)+IFERROR($K416*VLOOKUP($J416,食材表!$A:C,3,FALSE),0)+IFERROR($K417*VLOOKUP($J417,食材表!$A:C,3,FALSE),0)+IFERROR($K418*VLOOKUP($J418,食材表!$A:C,3,FALSE),0)</f>
        <v>0.8</v>
      </c>
      <c r="M416" s="342">
        <f>IFERROR($I416*VLOOKUP($H416,食材表!$A:D,4,FALSE),0)+IFERROR($I417*VLOOKUP($H417,食材表!$A:D,4,FALSE),0)+IFERROR($I418*VLOOKUP($H418,食材表!$A:D,4,FALSE),0)+IFERROR($K416*VLOOKUP($J416,食材表!$A:D,4,FALSE),0)+IFERROR($K417*VLOOKUP($J417,食材表!$A:D,4,FALSE),0)+IFERROR($K418*VLOOKUP($J418,食材表!$A:D,4,FALSE),0)</f>
        <v>0.48</v>
      </c>
      <c r="N416" s="342">
        <f>IFERROR($I416*VLOOKUP($H416,食材表!$A:E,5,FALSE),0)+IFERROR($I417*VLOOKUP($H417,食材表!$A:E,5,FALSE),0)+IFERROR($I418*VLOOKUP($H418,食材表!$A:E,5,FALSE),0)+IFERROR($K416*VLOOKUP($J416,食材表!$A:E,5,FALSE),0)+IFERROR($K417*VLOOKUP($J417,食材表!$A:E,5,FALSE),0)+IFERROR($K418*VLOOKUP($J418,食材表!$A:E,5,FALSE),0)</f>
        <v>0</v>
      </c>
      <c r="O416" s="342">
        <f>IFERROR($I416*VLOOKUP($H416,食材表!$A:F,6,FALSE),0)+IFERROR($I417*VLOOKUP($H417,食材表!$A:F,6,FALSE),0)+IFERROR($I418*VLOOKUP($H418,食材表!$A:F,6,FALSE),0)+IFERROR($K416*VLOOKUP($J416,食材表!$A:F,6,FALSE),0)+IFERROR($K417*VLOOKUP($J417,食材表!$A:F,6,FALSE),0)+IFERROR($K418*VLOOKUP($J418,食材表!$A:F,6,FALSE),0)</f>
        <v>0.08</v>
      </c>
      <c r="P416" s="342">
        <f>IFERROR($I416*VLOOKUP($H416,食材表!$A:G,7,FALSE),0)+IFERROR($I417*VLOOKUP($H417,食材表!$A:G,7,FALSE),0)+IFERROR($I418*VLOOKUP($H418,食材表!$A:G,7,FALSE),0)+IFERROR($K416*VLOOKUP($J416,食材表!$A:G,7,FALSE),0)+IFERROR($K417*VLOOKUP($J417,食材表!$A:G,7,FALSE),0)+IFERROR($K418*VLOOKUP($J418,食材表!$A:G,7,FALSE),0)</f>
        <v>0</v>
      </c>
      <c r="Q416" s="342">
        <f>IFERROR($I416*VLOOKUP($H416,食材表!$A:H,8,FALSE),0)+IFERROR($I417*VLOOKUP($H417,食材表!$A:H,8,FALSE),0)+IFERROR($I418*VLOOKUP($H418,食材表!$A:H,8,FALSE),0)+IFERROR($K416*VLOOKUP($J416,食材表!$A:H,8,FALSE),0)+IFERROR($K417*VLOOKUP($J417,食材表!$A:H,8,FALSE),0)+IFERROR($K418*VLOOKUP($J418,食材表!$A:H,8,FALSE),0)</f>
        <v>0</v>
      </c>
      <c r="R416" s="342">
        <f>IFERROR($I416*VLOOKUP($H416,食材表!$A:I,9,FALSE),0)+IFERROR($I417*VLOOKUP($H417,食材表!$A:I,9,FALSE),0)+IFERROR($I418*VLOOKUP($H418,食材表!$A:I,9,FALSE),0)+IFERROR($K416*VLOOKUP($J416,食材表!$A:I,9,FALSE),0)+IFERROR($K417*VLOOKUP($J417,食材表!$A:I,9,FALSE),0)+IFERROR($K418*VLOOKUP($J418,食材表!$A:I,9,FALSE),0)</f>
        <v>0</v>
      </c>
      <c r="S416" s="342">
        <f>SUM(L416*70+M416*75+N416*120+O416*25+P416*60+Q416*45+R416*4)</f>
        <v>94</v>
      </c>
    </row>
    <row r="417" spans="1:19">
      <c r="A417" s="33" t="str">
        <f>"2"&amp;+$B416</f>
        <v>2麵線羹</v>
      </c>
      <c r="B417" s="383"/>
      <c r="C417" s="22" t="s">
        <v>88</v>
      </c>
      <c r="D417" s="36">
        <v>0.1</v>
      </c>
      <c r="E417" s="31" t="s">
        <v>89</v>
      </c>
      <c r="F417" s="33">
        <v>1.2</v>
      </c>
      <c r="G417" s="353"/>
      <c r="H417" s="93" t="str">
        <f t="shared" ref="H417:H418" si="290">C417</f>
        <v>香菜</v>
      </c>
      <c r="I417" s="86">
        <f>IFERROR(IF(LEN(D417)=LENB(D417),ROUND(LEFT(D417,2*LEN(D417)-LENB(D417))/$A$1,3),((ROUND(LEFT(D417,2*LEN(D417)-LENB(D417))/$A$1,3))*VLOOKUP(H417,食材表!$A:$B,2,FALSE))),"")</f>
        <v>2E-3</v>
      </c>
      <c r="J417" s="93" t="str">
        <f t="shared" ref="J417:J418" si="291">E417</f>
        <v>肉羹</v>
      </c>
      <c r="K417" s="86">
        <f>IFERROR(IF(LEN(F417)=LENB(F417),ROUND(LEFT(F417,2*LEN(F417)-LENB(F417))/$A$1,3),((ROUND(LEFT(F417,2*LEN(F417)-LENB(F417))/$A$1,3))*VLOOKUP(J417,食材表!$A:$B,2,FALSE))),"")</f>
        <v>2.4E-2</v>
      </c>
      <c r="L417" s="343"/>
      <c r="M417" s="343"/>
      <c r="N417" s="343"/>
      <c r="O417" s="343"/>
      <c r="P417" s="343"/>
      <c r="Q417" s="343"/>
      <c r="R417" s="343"/>
      <c r="S417" s="343"/>
    </row>
    <row r="418" spans="1:19">
      <c r="A418" s="33" t="str">
        <f>"3"&amp;+$B416</f>
        <v>3麵線羹</v>
      </c>
      <c r="B418" s="351"/>
      <c r="C418" s="28" t="s">
        <v>51</v>
      </c>
      <c r="D418" s="33">
        <v>0.6</v>
      </c>
      <c r="E418" s="26" t="s">
        <v>90</v>
      </c>
      <c r="F418" s="37">
        <v>0.1</v>
      </c>
      <c r="G418" s="354"/>
      <c r="H418" s="92" t="str">
        <f t="shared" si="290"/>
        <v>白蘿蔔</v>
      </c>
      <c r="I418" s="84">
        <f>IFERROR(IF(LEN(D418)=LENB(D418),ROUND(LEFT(D418,2*LEN(D418)-LENB(D418))/$A$1,3),((ROUND(LEFT(D418,2*LEN(D418)-LENB(D418))/$A$1,3))*VLOOKUP(H418,食材表!$A:$B,2,FALSE))),"")</f>
        <v>1.2E-2</v>
      </c>
      <c r="J418" s="92" t="str">
        <f t="shared" si="291"/>
        <v>蒜泥</v>
      </c>
      <c r="K418" s="85">
        <f>IFERROR(IF(LEN(F418)=LENB(F418),ROUND(LEFT(F418,2*LEN(F418)-LENB(F418))/$A$1,3),((ROUND(LEFT(F418,2*LEN(F418)-LENB(F418))/$A$1,3))*VLOOKUP(J418,食材表!$A:$B,2,FALSE))),"")</f>
        <v>2E-3</v>
      </c>
      <c r="L418" s="344"/>
      <c r="M418" s="344"/>
      <c r="N418" s="344"/>
      <c r="O418" s="344"/>
      <c r="P418" s="344"/>
      <c r="Q418" s="344"/>
      <c r="R418" s="344"/>
      <c r="S418" s="344"/>
    </row>
    <row r="419" spans="1:19">
      <c r="A419" s="33" t="str">
        <f>"1"&amp;+$B419</f>
        <v>1浮水魚羹麵</v>
      </c>
      <c r="B419" s="386" t="s">
        <v>1107</v>
      </c>
      <c r="C419" s="72" t="s">
        <v>1108</v>
      </c>
      <c r="D419" s="59">
        <v>0.8</v>
      </c>
      <c r="E419" s="60" t="s">
        <v>80</v>
      </c>
      <c r="F419" s="36">
        <v>0.3</v>
      </c>
      <c r="G419" s="352" t="str">
        <f t="shared" ref="G419" si="292">B419</f>
        <v>浮水魚羹麵</v>
      </c>
      <c r="H419" s="91" t="str">
        <f>C419</f>
        <v>虱目魚羹</v>
      </c>
      <c r="I419" s="83">
        <f>IFERROR(IF(LEN(D419)=LENB(D419),ROUND(LEFT(D419,2*LEN(D419)-LENB(D419))/$A$1,3),((ROUND(LEFT(D419,2*LEN(D419)-LENB(D419))/$A$1,3))*VLOOKUP(H419,食材表!$A:$B,2,FALSE))),"")</f>
        <v>1.6E-2</v>
      </c>
      <c r="J419" s="91" t="str">
        <f>E419</f>
        <v>金針菇</v>
      </c>
      <c r="K419" s="83">
        <f>IFERROR(IF(LEN(F419)=LENB(F419),ROUND(LEFT(F419,2*LEN(F419)-LENB(F419))/$A$1,3),((ROUND(LEFT(F419,2*LEN(F419)-LENB(F419))/$A$1,3))*VLOOKUP(J419,食材表!$A:$B,2,FALSE))),"")</f>
        <v>6.0000000000000001E-3</v>
      </c>
      <c r="L419" s="342">
        <f>IFERROR($I419*VLOOKUP($H419,食材表!$A:C,3,FALSE),0)+IFERROR($I420*VLOOKUP($H420,食材表!$A:C,3,FALSE),0)+IFERROR($I421*VLOOKUP($H421,食材表!$A:C,3,FALSE),0)+IFERROR($K419*VLOOKUP($J419,食材表!$A:C,3,FALSE),0)+IFERROR($K420*VLOOKUP($J420,食材表!$A:C,3,FALSE),0)+IFERROR($K421*VLOOKUP($J421,食材表!$A:C,3,FALSE),0)</f>
        <v>1.2</v>
      </c>
      <c r="M419" s="342">
        <f>IFERROR($I419*VLOOKUP($H419,食材表!$A:D,4,FALSE),0)+IFERROR($I420*VLOOKUP($H420,食材表!$A:D,4,FALSE),0)+IFERROR($I421*VLOOKUP($H421,食材表!$A:D,4,FALSE),0)+IFERROR($K419*VLOOKUP($J419,食材表!$A:D,4,FALSE),0)+IFERROR($K420*VLOOKUP($J420,食材表!$A:D,4,FALSE),0)+IFERROR($K421*VLOOKUP($J421,食材表!$A:D,4,FALSE),0)</f>
        <v>0</v>
      </c>
      <c r="N419" s="342">
        <f>IFERROR($I419*VLOOKUP($H419,食材表!$A:E,5,FALSE),0)+IFERROR($I420*VLOOKUP($H420,食材表!$A:E,5,FALSE),0)+IFERROR($I421*VLOOKUP($H421,食材表!$A:E,5,FALSE),0)+IFERROR($K419*VLOOKUP($J419,食材表!$A:E,5,FALSE),0)+IFERROR($K420*VLOOKUP($J420,食材表!$A:E,5,FALSE),0)+IFERROR($K421*VLOOKUP($J421,食材表!$A:E,5,FALSE),0)</f>
        <v>0</v>
      </c>
      <c r="O419" s="342">
        <f>IFERROR($I419*VLOOKUP($H419,食材表!$A:F,6,FALSE),0)+IFERROR($I420*VLOOKUP($H420,食材表!$A:F,6,FALSE),0)+IFERROR($I421*VLOOKUP($H421,食材表!$A:F,6,FALSE),0)+IFERROR($K419*VLOOKUP($J419,食材表!$A:F,6,FALSE),0)+IFERROR($K420*VLOOKUP($J420,食材表!$A:F,6,FALSE),0)+IFERROR($K421*VLOOKUP($J421,食材表!$A:F,6,FALSE),0)</f>
        <v>0.14000000000000001</v>
      </c>
      <c r="P419" s="342">
        <f>IFERROR($I419*VLOOKUP($H419,食材表!$A:G,7,FALSE),0)+IFERROR($I420*VLOOKUP($H420,食材表!$A:G,7,FALSE),0)+IFERROR($I421*VLOOKUP($H421,食材表!$A:G,7,FALSE),0)+IFERROR($K419*VLOOKUP($J419,食材表!$A:G,7,FALSE),0)+IFERROR($K420*VLOOKUP($J420,食材表!$A:G,7,FALSE),0)+IFERROR($K421*VLOOKUP($J421,食材表!$A:G,7,FALSE),0)</f>
        <v>0</v>
      </c>
      <c r="Q419" s="342">
        <f>IFERROR($I419*VLOOKUP($H419,食材表!$A:H,8,FALSE),0)+IFERROR($I420*VLOOKUP($H420,食材表!$A:H,8,FALSE),0)+IFERROR($I421*VLOOKUP($H421,食材表!$A:H,8,FALSE),0)+IFERROR($K419*VLOOKUP($J419,食材表!$A:H,8,FALSE),0)+IFERROR($K420*VLOOKUP($J420,食材表!$A:H,8,FALSE),0)+IFERROR($K421*VLOOKUP($J421,食材表!$A:H,8,FALSE),0)</f>
        <v>0</v>
      </c>
      <c r="R419" s="342">
        <f>IFERROR($I419*VLOOKUP($H419,食材表!$A:I,9,FALSE),0)+IFERROR($I420*VLOOKUP($H420,食材表!$A:I,9,FALSE),0)+IFERROR($I421*VLOOKUP($H421,食材表!$A:I,9,FALSE),0)+IFERROR($K419*VLOOKUP($J419,食材表!$A:I,9,FALSE),0)+IFERROR($K420*VLOOKUP($J420,食材表!$A:I,9,FALSE),0)+IFERROR($K421*VLOOKUP($J421,食材表!$A:I,9,FALSE),0)</f>
        <v>0</v>
      </c>
      <c r="S419" s="342">
        <f t="shared" ref="S419" si="293">SUM(L419*70+M419*75+N419*120+O419*25+P419*60+Q419*45+R419*4)</f>
        <v>87.5</v>
      </c>
    </row>
    <row r="420" spans="1:19">
      <c r="A420" s="33" t="str">
        <f>"2"&amp;+$B419</f>
        <v>2浮水魚羹麵</v>
      </c>
      <c r="B420" s="387"/>
      <c r="C420" s="22" t="s">
        <v>1109</v>
      </c>
      <c r="D420" s="36">
        <v>0.3</v>
      </c>
      <c r="E420" s="22" t="s">
        <v>53</v>
      </c>
      <c r="F420" s="36" t="s">
        <v>955</v>
      </c>
      <c r="G420" s="353"/>
      <c r="H420" s="93" t="str">
        <f>C420</f>
        <v>筍簽</v>
      </c>
      <c r="I420" s="86">
        <f>IFERROR(IF(LEN(D420)=LENB(D420),ROUND(LEFT(D420,2*LEN(D420)-LENB(D420))/$A$1,3),((ROUND(LEFT(D420,2*LEN(D420)-LENB(D420))/$A$1,3))*VLOOKUP(H420,食材表!$A:$B,2,FALSE))),"")</f>
        <v>6.0000000000000001E-3</v>
      </c>
      <c r="J420" s="93" t="str">
        <f>E420</f>
        <v>柴魚片</v>
      </c>
      <c r="K420" s="86">
        <f>IFERROR(IF(LEN(F420)=LENB(F420),ROUND(LEFT(F420,2*LEN(F420)-LENB(F420))/$A$1,3),((ROUND(LEFT(F420,2*LEN(F420)-LENB(F420))/$A$1,3))*VLOOKUP(J420,食材表!$A:$B,2,FALSE))),"")</f>
        <v>1.2E-2</v>
      </c>
      <c r="L420" s="343"/>
      <c r="M420" s="343"/>
      <c r="N420" s="343"/>
      <c r="O420" s="343"/>
      <c r="P420" s="343"/>
      <c r="Q420" s="343"/>
      <c r="R420" s="343"/>
      <c r="S420" s="343"/>
    </row>
    <row r="421" spans="1:19">
      <c r="A421" s="33" t="str">
        <f>"3"&amp;+$B419</f>
        <v>3浮水魚羹麵</v>
      </c>
      <c r="B421" s="388"/>
      <c r="C421" s="26" t="s">
        <v>83</v>
      </c>
      <c r="D421" s="37">
        <v>0.4</v>
      </c>
      <c r="E421" s="26" t="s">
        <v>164</v>
      </c>
      <c r="F421" s="37">
        <v>3.6</v>
      </c>
      <c r="G421" s="354"/>
      <c r="H421" s="92" t="str">
        <f>C421</f>
        <v>木耳</v>
      </c>
      <c r="I421" s="84">
        <f>IFERROR(IF(LEN(D421)=LENB(D421),ROUND(LEFT(D421,2*LEN(D421)-LENB(D421))/$A$1,3),((ROUND(LEFT(D421,2*LEN(D421)-LENB(D421))/$A$1,3))*VLOOKUP(H421,食材表!$A:$B,2,FALSE))),"")</f>
        <v>8.0000000000000002E-3</v>
      </c>
      <c r="J421" s="92" t="str">
        <f>E421</f>
        <v>細烏龍麵</v>
      </c>
      <c r="K421" s="85">
        <f>IFERROR(IF(LEN(F421)=LENB(F421),ROUND(LEFT(F421,2*LEN(F421)-LENB(F421))/$A$1,3),((ROUND(LEFT(F421,2*LEN(F421)-LENB(F421))/$A$1,3))*VLOOKUP(J421,食材表!$A:$B,2,FALSE))),"")</f>
        <v>7.1999999999999995E-2</v>
      </c>
      <c r="L421" s="344"/>
      <c r="M421" s="344"/>
      <c r="N421" s="344"/>
      <c r="O421" s="344"/>
      <c r="P421" s="344"/>
      <c r="Q421" s="344"/>
      <c r="R421" s="344"/>
      <c r="S421" s="344"/>
    </row>
    <row r="422" spans="1:19">
      <c r="A422" s="33" t="str">
        <f>"1"&amp;+$B422</f>
        <v>1咖哩炒麵</v>
      </c>
      <c r="B422" s="355" t="s">
        <v>971</v>
      </c>
      <c r="C422" s="57" t="s">
        <v>164</v>
      </c>
      <c r="D422" s="56">
        <v>4.2</v>
      </c>
      <c r="E422" s="58" t="s">
        <v>47</v>
      </c>
      <c r="F422" s="56">
        <v>0.6</v>
      </c>
      <c r="G422" s="352" t="str">
        <f>B422</f>
        <v>咖哩炒麵</v>
      </c>
      <c r="H422" s="91" t="str">
        <f>C422</f>
        <v>細烏龍麵</v>
      </c>
      <c r="I422" s="83">
        <f>IFERROR(IF(LEN(D422)=LENB(D422),ROUND(LEFT(D422,2*LEN(D422)-LENB(D422))/$A$1,3),((ROUND(LEFT(D422,2*LEN(D422)-LENB(D422))/$A$1,3))*VLOOKUP(H422,食材表!$A:$B,2,FALSE))),"")</f>
        <v>8.4000000000000005E-2</v>
      </c>
      <c r="J422" s="91" t="str">
        <f>E422</f>
        <v>豬肉絲</v>
      </c>
      <c r="K422" s="83">
        <f>IFERROR(IF(LEN(F422)=LENB(F422),ROUND(LEFT(F422,2*LEN(F422)-LENB(F422))/$A$1,3),((ROUND(LEFT(F422,2*LEN(F422)-LENB(F422))/$A$1,3))*VLOOKUP(J422,食材表!$A:$B,2,FALSE))),"")</f>
        <v>1.2E-2</v>
      </c>
      <c r="L422" s="342">
        <f>IFERROR($I422*VLOOKUP($H422,食材表!$A:C,3,FALSE),0)+IFERROR($I423*VLOOKUP($H423,食材表!$A:C,3,FALSE),0)+IFERROR($I424*VLOOKUP($H424,食材表!$A:C,3,FALSE),0)+IFERROR($K422*VLOOKUP($J422,食材表!$A:C,3,FALSE),0)+IFERROR($K423*VLOOKUP($J423,食材表!$A:C,3,FALSE),0)+IFERROR($K424*VLOOKUP($J424,食材表!$A:C,3,FALSE),0)</f>
        <v>1.4000000000000001</v>
      </c>
      <c r="M422" s="342">
        <f>IFERROR($I422*VLOOKUP($H422,食材表!$A:D,4,FALSE),0)+IFERROR($I423*VLOOKUP($H423,食材表!$A:D,4,FALSE),0)+IFERROR($I424*VLOOKUP($H424,食材表!$A:D,4,FALSE),0)+IFERROR($K422*VLOOKUP($J422,食材表!$A:D,4,FALSE),0)+IFERROR($K423*VLOOKUP($J423,食材表!$A:D,4,FALSE),0)+IFERROR($K424*VLOOKUP($J424,食材表!$A:D,4,FALSE),0)</f>
        <v>0.34285714285714286</v>
      </c>
      <c r="N422" s="342">
        <f>IFERROR($I422*VLOOKUP($H422,食材表!$A:E,5,FALSE),0)+IFERROR($I423*VLOOKUP($H423,食材表!$A:E,5,FALSE),0)+IFERROR($I424*VLOOKUP($H424,食材表!$A:E,5,FALSE),0)+IFERROR($K422*VLOOKUP($J422,食材表!$A:E,5,FALSE),0)+IFERROR($K423*VLOOKUP($J423,食材表!$A:E,5,FALSE),0)+IFERROR($K424*VLOOKUP($J424,食材表!$A:E,5,FALSE),0)</f>
        <v>0</v>
      </c>
      <c r="O422" s="342">
        <f>IFERROR($I422*VLOOKUP($H422,食材表!$A:F,6,FALSE),0)+IFERROR($I423*VLOOKUP($H423,食材表!$A:F,6,FALSE),0)+IFERROR($I424*VLOOKUP($H424,食材表!$A:F,6,FALSE),0)+IFERROR($K422*VLOOKUP($J422,食材表!$A:F,6,FALSE),0)+IFERROR($K423*VLOOKUP($J423,食材表!$A:F,6,FALSE),0)+IFERROR($K424*VLOOKUP($J424,食材表!$A:F,6,FALSE),0)</f>
        <v>0.16999999999999998</v>
      </c>
      <c r="P422" s="342">
        <f>IFERROR($I422*VLOOKUP($H422,食材表!$A:G,7,FALSE),0)+IFERROR($I423*VLOOKUP($H423,食材表!$A:G,7,FALSE),0)+IFERROR($I424*VLOOKUP($H424,食材表!$A:G,7,FALSE),0)+IFERROR($K422*VLOOKUP($J422,食材表!$A:G,7,FALSE),0)+IFERROR($K423*VLOOKUP($J423,食材表!$A:G,7,FALSE),0)+IFERROR($K424*VLOOKUP($J424,食材表!$A:G,7,FALSE),0)</f>
        <v>0</v>
      </c>
      <c r="Q422" s="342">
        <f>IFERROR($I422*VLOOKUP($H422,食材表!$A:H,8,FALSE),0)+IFERROR($I423*VLOOKUP($H423,食材表!$A:H,8,FALSE),0)+IFERROR($I424*VLOOKUP($H424,食材表!$A:H,8,FALSE),0)+IFERROR($K422*VLOOKUP($J422,食材表!$A:H,8,FALSE),0)+IFERROR($K423*VLOOKUP($J423,食材表!$A:H,8,FALSE),0)+IFERROR($K424*VLOOKUP($J424,食材表!$A:H,8,FALSE),0)</f>
        <v>0</v>
      </c>
      <c r="R422" s="342">
        <f>IFERROR($I422*VLOOKUP($H422,食材表!$A:I,9,FALSE),0)+IFERROR($I423*VLOOKUP($H423,食材表!$A:I,9,FALSE),0)+IFERROR($I424*VLOOKUP($H424,食材表!$A:I,9,FALSE),0)+IFERROR($K422*VLOOKUP($J422,食材表!$A:I,9,FALSE),0)+IFERROR($K423*VLOOKUP($J423,食材表!$A:I,9,FALSE),0)+IFERROR($K424*VLOOKUP($J424,食材表!$A:I,9,FALSE),0)</f>
        <v>0</v>
      </c>
      <c r="S422" s="342">
        <f>SUM(L422*70+M422*75+N422*120+O422*25+P422*60+Q422*45+R422*4)</f>
        <v>127.96428571428572</v>
      </c>
    </row>
    <row r="423" spans="1:19">
      <c r="A423" s="33" t="str">
        <f>"2"&amp;+$B422</f>
        <v>2咖哩炒麵</v>
      </c>
      <c r="B423" s="356"/>
      <c r="C423" s="50" t="s">
        <v>418</v>
      </c>
      <c r="D423" s="40" t="s">
        <v>419</v>
      </c>
      <c r="E423" s="27" t="s">
        <v>160</v>
      </c>
      <c r="F423" s="33" t="s">
        <v>958</v>
      </c>
      <c r="G423" s="353"/>
      <c r="H423" s="93" t="str">
        <f t="shared" ref="H423:H424" si="294">C423</f>
        <v>咖哩塊</v>
      </c>
      <c r="I423" s="86">
        <f>IFERROR(IF(LEN(D423)=LENB(D423),ROUND(LEFT(D423,2*LEN(D423)-LENB(D423))/$A$1,3),((ROUND(LEFT(D423,2*LEN(D423)-LENB(D423))/$A$1,3))*VLOOKUP(H423,食材表!$A:$B,2,FALSE))),"")</f>
        <v>4.5999999999999999E-3</v>
      </c>
      <c r="J423" s="93" t="str">
        <f t="shared" ref="J423:J424" si="295">E423</f>
        <v>胡蘿蔔</v>
      </c>
      <c r="K423" s="86">
        <f>IFERROR(IF(LEN(F423)=LENB(F423),ROUND(LEFT(F423,2*LEN(F423)-LENB(F423))/$A$1,3),((ROUND(LEFT(F423,2*LEN(F423)-LENB(F423))/$A$1,3))*VLOOKUP(J423,食材表!$A:$B,2,FALSE))),"")</f>
        <v>5.0000000000000001E-3</v>
      </c>
      <c r="L423" s="343"/>
      <c r="M423" s="343"/>
      <c r="N423" s="343"/>
      <c r="O423" s="343"/>
      <c r="P423" s="343"/>
      <c r="Q423" s="343"/>
      <c r="R423" s="343"/>
      <c r="S423" s="343"/>
    </row>
    <row r="424" spans="1:19">
      <c r="A424" s="33" t="str">
        <f>"3"&amp;+$B422</f>
        <v>3咖哩炒麵</v>
      </c>
      <c r="B424" s="357"/>
      <c r="C424" s="28" t="s">
        <v>165</v>
      </c>
      <c r="D424" s="8">
        <v>0.6</v>
      </c>
      <c r="E424" s="29" t="s">
        <v>972</v>
      </c>
      <c r="F424" s="8" t="s">
        <v>238</v>
      </c>
      <c r="G424" s="354"/>
      <c r="H424" s="92" t="str">
        <f t="shared" si="294"/>
        <v>小白菜</v>
      </c>
      <c r="I424" s="84">
        <f>IFERROR(IF(LEN(D424)=LENB(D424),ROUND(LEFT(D424,2*LEN(D424)-LENB(D424))/$A$1,3),((ROUND(LEFT(D424,2*LEN(D424)-LENB(D424))/$A$1,3))*VLOOKUP(H424,食材表!$A:$B,2,FALSE))),"")</f>
        <v>1.2E-2</v>
      </c>
      <c r="J424" s="92" t="str">
        <f t="shared" si="295"/>
        <v>咖哩粉</v>
      </c>
      <c r="K424" s="85" t="str">
        <f>IFERROR(IF(LEN(F424)=LENB(F424),ROUND(LEFT(F424,2*LEN(F424)-LENB(F424))/$A$1,3),((ROUND(LEFT(F424,2*LEN(F424)-LENB(F424))/$A$1,3))*VLOOKUP(J424,食材表!$A:$B,2,FALSE))),"")</f>
        <v/>
      </c>
      <c r="L424" s="344"/>
      <c r="M424" s="344"/>
      <c r="N424" s="344"/>
      <c r="O424" s="344"/>
      <c r="P424" s="344"/>
      <c r="Q424" s="344"/>
      <c r="R424" s="344"/>
      <c r="S424" s="344"/>
    </row>
    <row r="425" spans="1:19">
      <c r="A425" s="33" t="str">
        <f>"1"&amp;+$B425</f>
        <v>1八寶冬粉</v>
      </c>
      <c r="B425" s="386" t="s">
        <v>975</v>
      </c>
      <c r="C425" s="60" t="s">
        <v>200</v>
      </c>
      <c r="D425" s="59">
        <v>1</v>
      </c>
      <c r="E425" s="75" t="s">
        <v>434</v>
      </c>
      <c r="F425" s="59">
        <v>1</v>
      </c>
      <c r="G425" s="352" t="str">
        <f>B425</f>
        <v>八寶冬粉</v>
      </c>
      <c r="H425" s="91" t="str">
        <f>C425</f>
        <v>冬粉</v>
      </c>
      <c r="I425" s="83">
        <f>IFERROR(IF(LEN(D425)=LENB(D425),ROUND(LEFT(D425,2*LEN(D425)-LENB(D425))/$A$1,3),((ROUND(LEFT(D425,2*LEN(D425)-LENB(D425))/$A$1,3))*VLOOKUP(H425,食材表!$A:$B,2,FALSE))),"")</f>
        <v>0.02</v>
      </c>
      <c r="J425" s="91" t="str">
        <f>E425</f>
        <v>花枝羹</v>
      </c>
      <c r="K425" s="83">
        <f>IFERROR(IF(LEN(F425)=LENB(F425),ROUND(LEFT(F425,2*LEN(F425)-LENB(F425))/$A$1,3),((ROUND(LEFT(F425,2*LEN(F425)-LENB(F425))/$A$1,3))*VLOOKUP(J425,食材表!$A:$B,2,FALSE))),"")</f>
        <v>0.02</v>
      </c>
      <c r="L425" s="342">
        <f>IFERROR($I425*VLOOKUP($H425,食材表!$A:C,3,FALSE),0)+IFERROR($I426*VLOOKUP($H426,食材表!$A:C,3,FALSE),0)+IFERROR($I427*VLOOKUP($H427,食材表!$A:C,3,FALSE),0)+IFERROR($K425*VLOOKUP($J425,食材表!$A:C,3,FALSE),0)+IFERROR($K426*VLOOKUP($J426,食材表!$A:C,3,FALSE),0)+IFERROR($K427*VLOOKUP($J427,食材表!$A:C,3,FALSE),0)</f>
        <v>1.3333333333333335</v>
      </c>
      <c r="M425" s="342">
        <f>IFERROR($I425*VLOOKUP($H425,食材表!$A:D,4,FALSE),0)+IFERROR($I426*VLOOKUP($H426,食材表!$A:D,4,FALSE),0)+IFERROR($I427*VLOOKUP($H427,食材表!$A:D,4,FALSE),0)+IFERROR($K425*VLOOKUP($J425,食材表!$A:D,4,FALSE),0)+IFERROR($K426*VLOOKUP($J426,食材表!$A:D,4,FALSE),0)+IFERROR($K427*VLOOKUP($J427,食材表!$A:D,4,FALSE),0)</f>
        <v>0.4</v>
      </c>
      <c r="N425" s="342">
        <f>IFERROR($I425*VLOOKUP($H425,食材表!$A:E,5,FALSE),0)+IFERROR($I426*VLOOKUP($H426,食材表!$A:E,5,FALSE),0)+IFERROR($I427*VLOOKUP($H427,食材表!$A:E,5,FALSE),0)+IFERROR($K425*VLOOKUP($J425,食材表!$A:E,5,FALSE),0)+IFERROR($K426*VLOOKUP($J426,食材表!$A:E,5,FALSE),0)+IFERROR($K427*VLOOKUP($J427,食材表!$A:E,5,FALSE),0)</f>
        <v>0</v>
      </c>
      <c r="O425" s="342">
        <f>IFERROR($I425*VLOOKUP($H425,食材表!$A:F,6,FALSE),0)+IFERROR($I426*VLOOKUP($H426,食材表!$A:F,6,FALSE),0)+IFERROR($I427*VLOOKUP($H427,食材表!$A:F,6,FALSE),0)+IFERROR($K425*VLOOKUP($J425,食材表!$A:F,6,FALSE),0)+IFERROR($K426*VLOOKUP($J426,食材表!$A:F,6,FALSE),0)+IFERROR($K427*VLOOKUP($J427,食材表!$A:F,6,FALSE),0)</f>
        <v>0.06</v>
      </c>
      <c r="P425" s="342">
        <f>IFERROR($I425*VLOOKUP($H425,食材表!$A:G,7,FALSE),0)+IFERROR($I426*VLOOKUP($H426,食材表!$A:G,7,FALSE),0)+IFERROR($I427*VLOOKUP($H427,食材表!$A:G,7,FALSE),0)+IFERROR($K425*VLOOKUP($J425,食材表!$A:G,7,FALSE),0)+IFERROR($K426*VLOOKUP($J426,食材表!$A:G,7,FALSE),0)+IFERROR($K427*VLOOKUP($J427,食材表!$A:G,7,FALSE),0)</f>
        <v>0</v>
      </c>
      <c r="Q425" s="342">
        <f>IFERROR($I425*VLOOKUP($H425,食材表!$A:H,8,FALSE),0)+IFERROR($I426*VLOOKUP($H426,食材表!$A:H,8,FALSE),0)+IFERROR($I427*VLOOKUP($H427,食材表!$A:H,8,FALSE),0)+IFERROR($K425*VLOOKUP($J425,食材表!$A:H,8,FALSE),0)+IFERROR($K426*VLOOKUP($J426,食材表!$A:H,8,FALSE),0)+IFERROR($K427*VLOOKUP($J427,食材表!$A:H,8,FALSE),0)</f>
        <v>0</v>
      </c>
      <c r="R425" s="342">
        <f>IFERROR($I425*VLOOKUP($H425,食材表!$A:I,9,FALSE),0)+IFERROR($I426*VLOOKUP($H426,食材表!$A:I,9,FALSE),0)+IFERROR($I427*VLOOKUP($H427,食材表!$A:I,9,FALSE),0)+IFERROR($K425*VLOOKUP($J425,食材表!$A:I,9,FALSE),0)+IFERROR($K426*VLOOKUP($J426,食材表!$A:I,9,FALSE),0)+IFERROR($K427*VLOOKUP($J427,食材表!$A:I,9,FALSE),0)</f>
        <v>0</v>
      </c>
      <c r="S425" s="342">
        <f>SUM(L425*70+M425*75+N425*120+O425*25+P425*60+Q425*45+R425*4)</f>
        <v>124.83333333333334</v>
      </c>
    </row>
    <row r="426" spans="1:19">
      <c r="A426" s="33" t="str">
        <f>"2"&amp;+$B425</f>
        <v>2八寶冬粉</v>
      </c>
      <c r="B426" s="387"/>
      <c r="C426" s="22" t="s">
        <v>976</v>
      </c>
      <c r="D426" s="36">
        <v>0.2</v>
      </c>
      <c r="E426" s="23" t="s">
        <v>81</v>
      </c>
      <c r="F426" s="36">
        <v>0.3</v>
      </c>
      <c r="G426" s="353"/>
      <c r="H426" s="93" t="str">
        <f t="shared" ref="H426:H427" si="296">C426</f>
        <v>金針花</v>
      </c>
      <c r="I426" s="86">
        <f>IFERROR(IF(LEN(D426)=LENB(D426),ROUND(LEFT(D426,2*LEN(D426)-LENB(D426))/$A$1,3),((ROUND(LEFT(D426,2*LEN(D426)-LENB(D426))/$A$1,3))*VLOOKUP(H426,食材表!$A:$B,2,FALSE))),"")</f>
        <v>4.0000000000000001E-3</v>
      </c>
      <c r="J426" s="93" t="str">
        <f t="shared" ref="J426:J427" si="297">E426</f>
        <v>黑木耳</v>
      </c>
      <c r="K426" s="86">
        <f>IFERROR(IF(LEN(F426)=LENB(F426),ROUND(LEFT(F426,2*LEN(F426)-LENB(F426))/$A$1,3),((ROUND(LEFT(F426,2*LEN(F426)-LENB(F426))/$A$1,3))*VLOOKUP(J426,食材表!$A:$B,2,FALSE))),"")</f>
        <v>6.0000000000000001E-3</v>
      </c>
      <c r="L426" s="343"/>
      <c r="M426" s="343"/>
      <c r="N426" s="343"/>
      <c r="O426" s="343"/>
      <c r="P426" s="343"/>
      <c r="Q426" s="343"/>
      <c r="R426" s="343"/>
      <c r="S426" s="343"/>
    </row>
    <row r="427" spans="1:19">
      <c r="A427" s="33" t="str">
        <f>"3"&amp;+$B425</f>
        <v>3八寶冬粉</v>
      </c>
      <c r="B427" s="388"/>
      <c r="C427" s="24" t="s">
        <v>977</v>
      </c>
      <c r="D427" s="37">
        <v>0.5</v>
      </c>
      <c r="E427" s="25" t="s">
        <v>978</v>
      </c>
      <c r="F427" s="37">
        <v>0.3</v>
      </c>
      <c r="G427" s="354"/>
      <c r="H427" s="92" t="str">
        <f t="shared" si="296"/>
        <v>蝦仁</v>
      </c>
      <c r="I427" s="84">
        <f>IFERROR(IF(LEN(D427)=LENB(D427),ROUND(LEFT(D427,2*LEN(D427)-LENB(D427))/$A$1,3),((ROUND(LEFT(D427,2*LEN(D427)-LENB(D427))/$A$1,3))*VLOOKUP(H427,食材表!$A:$B,2,FALSE))),"")</f>
        <v>0.01</v>
      </c>
      <c r="J427" s="92" t="str">
        <f t="shared" si="297"/>
        <v>韭菜花</v>
      </c>
      <c r="K427" s="85">
        <f>IFERROR(IF(LEN(F427)=LENB(F427),ROUND(LEFT(F427,2*LEN(F427)-LENB(F427))/$A$1,3),((ROUND(LEFT(F427,2*LEN(F427)-LENB(F427))/$A$1,3))*VLOOKUP(J427,食材表!$A:$B,2,FALSE))),"")</f>
        <v>6.0000000000000001E-3</v>
      </c>
      <c r="L427" s="344"/>
      <c r="M427" s="344"/>
      <c r="N427" s="344"/>
      <c r="O427" s="344"/>
      <c r="P427" s="344"/>
      <c r="Q427" s="344"/>
      <c r="R427" s="344"/>
      <c r="S427" s="344"/>
    </row>
    <row r="428" spans="1:19">
      <c r="A428" s="33" t="str">
        <f>"1"&amp;+$B428</f>
        <v>1台式炒麵</v>
      </c>
      <c r="B428" s="349" t="s">
        <v>991</v>
      </c>
      <c r="C428" s="72" t="s">
        <v>164</v>
      </c>
      <c r="D428" s="59">
        <v>4.2</v>
      </c>
      <c r="E428" s="15" t="s">
        <v>47</v>
      </c>
      <c r="F428" s="59">
        <v>0.6</v>
      </c>
      <c r="G428" s="352" t="str">
        <f>B428</f>
        <v>台式炒麵</v>
      </c>
      <c r="H428" s="91" t="str">
        <f>C428</f>
        <v>細烏龍麵</v>
      </c>
      <c r="I428" s="83">
        <f>IFERROR(IF(LEN(D428)=LENB(D428),ROUND(LEFT(D428,2*LEN(D428)-LENB(D428))/$A$1,3),((ROUND(LEFT(D428,2*LEN(D428)-LENB(D428))/$A$1,3))*VLOOKUP(H428,食材表!$A:$B,2,FALSE))),"")</f>
        <v>8.4000000000000005E-2</v>
      </c>
      <c r="J428" s="91" t="str">
        <f>E428</f>
        <v>豬肉絲</v>
      </c>
      <c r="K428" s="83">
        <f>IFERROR(IF(LEN(F428)=LENB(F428),ROUND(LEFT(F428,2*LEN(F428)-LENB(F428))/$A$1,3),((ROUND(LEFT(F428,2*LEN(F428)-LENB(F428))/$A$1,3))*VLOOKUP(J428,食材表!$A:$B,2,FALSE))),"")</f>
        <v>1.2E-2</v>
      </c>
      <c r="L428" s="342">
        <f>IFERROR($I428*VLOOKUP($H428,食材表!$A:C,3,FALSE),0)+IFERROR($I429*VLOOKUP($H429,食材表!$A:C,3,FALSE),0)+IFERROR($I430*VLOOKUP($H430,食材表!$A:C,3,FALSE),0)+IFERROR($K428*VLOOKUP($J428,食材表!$A:C,3,FALSE),0)+IFERROR($K429*VLOOKUP($J429,食材表!$A:C,3,FALSE),0)+IFERROR($K430*VLOOKUP($J430,食材表!$A:C,3,FALSE),0)</f>
        <v>1.4000000000000001</v>
      </c>
      <c r="M428" s="342">
        <f>IFERROR($I428*VLOOKUP($H428,食材表!$A:D,4,FALSE),0)+IFERROR($I429*VLOOKUP($H429,食材表!$A:D,4,FALSE),0)+IFERROR($I430*VLOOKUP($H430,食材表!$A:D,4,FALSE),0)+IFERROR($K428*VLOOKUP($J428,食材表!$A:D,4,FALSE),0)+IFERROR($K429*VLOOKUP($J429,食材表!$A:D,4,FALSE),0)+IFERROR($K430*VLOOKUP($J430,食材表!$A:D,4,FALSE),0)</f>
        <v>0.34285714285714286</v>
      </c>
      <c r="N428" s="342">
        <f>IFERROR($I428*VLOOKUP($H428,食材表!$A:E,5,FALSE),0)+IFERROR($I429*VLOOKUP($H429,食材表!$A:E,5,FALSE),0)+IFERROR($I430*VLOOKUP($H430,食材表!$A:E,5,FALSE),0)+IFERROR($K428*VLOOKUP($J428,食材表!$A:E,5,FALSE),0)+IFERROR($K429*VLOOKUP($J429,食材表!$A:E,5,FALSE),0)+IFERROR($K430*VLOOKUP($J430,食材表!$A:E,5,FALSE),0)</f>
        <v>0</v>
      </c>
      <c r="O428" s="342">
        <f>IFERROR($I428*VLOOKUP($H428,食材表!$A:F,6,FALSE),0)+IFERROR($I429*VLOOKUP($H429,食材表!$A:F,6,FALSE),0)+IFERROR($I430*VLOOKUP($H430,食材表!$A:F,6,FALSE),0)+IFERROR($K428*VLOOKUP($J428,食材表!$A:F,6,FALSE),0)+IFERROR($K429*VLOOKUP($J429,食材表!$A:F,6,FALSE),0)+IFERROR($K430*VLOOKUP($J430,食材表!$A:F,6,FALSE),0)</f>
        <v>0.32000000000000006</v>
      </c>
      <c r="P428" s="342">
        <f>IFERROR($I428*VLOOKUP($H428,食材表!$A:G,7,FALSE),0)+IFERROR($I429*VLOOKUP($H429,食材表!$A:G,7,FALSE),0)+IFERROR($I430*VLOOKUP($H430,食材表!$A:G,7,FALSE),0)+IFERROR($K428*VLOOKUP($J428,食材表!$A:G,7,FALSE),0)+IFERROR($K429*VLOOKUP($J429,食材表!$A:G,7,FALSE),0)+IFERROR($K430*VLOOKUP($J430,食材表!$A:G,7,FALSE),0)</f>
        <v>0</v>
      </c>
      <c r="Q428" s="342">
        <f>IFERROR($I428*VLOOKUP($H428,食材表!$A:H,8,FALSE),0)+IFERROR($I429*VLOOKUP($H429,食材表!$A:H,8,FALSE),0)+IFERROR($I430*VLOOKUP($H430,食材表!$A:H,8,FALSE),0)+IFERROR($K428*VLOOKUP($J428,食材表!$A:H,8,FALSE),0)+IFERROR($K429*VLOOKUP($J429,食材表!$A:H,8,FALSE),0)+IFERROR($K430*VLOOKUP($J430,食材表!$A:H,8,FALSE),0)</f>
        <v>0</v>
      </c>
      <c r="R428" s="342">
        <f>IFERROR($I428*VLOOKUP($H428,食材表!$A:I,9,FALSE),0)+IFERROR($I429*VLOOKUP($H429,食材表!$A:I,9,FALSE),0)+IFERROR($I430*VLOOKUP($H430,食材表!$A:I,9,FALSE),0)+IFERROR($K428*VLOOKUP($J428,食材表!$A:I,9,FALSE),0)+IFERROR($K429*VLOOKUP($J429,食材表!$A:I,9,FALSE),0)+IFERROR($K430*VLOOKUP($J430,食材表!$A:I,9,FALSE),0)</f>
        <v>0</v>
      </c>
      <c r="S428" s="342">
        <f>SUM(L428*70+M428*75+N428*120+O428*25+P428*60+Q428*45+R428*4)</f>
        <v>131.71428571428572</v>
      </c>
    </row>
    <row r="429" spans="1:19">
      <c r="A429" s="33" t="str">
        <f>"2"&amp;+$B428</f>
        <v>2台式炒麵</v>
      </c>
      <c r="B429" s="350"/>
      <c r="C429" s="22" t="s">
        <v>316</v>
      </c>
      <c r="D429" s="36">
        <v>1</v>
      </c>
      <c r="E429" s="45" t="s">
        <v>315</v>
      </c>
      <c r="F429" s="36">
        <v>0.1</v>
      </c>
      <c r="G429" s="353"/>
      <c r="H429" s="93" t="str">
        <f t="shared" ref="H429:H430" si="298">C429</f>
        <v>豆芽菜</v>
      </c>
      <c r="I429" s="86">
        <f>IFERROR(IF(LEN(D429)=LENB(D429),ROUND(LEFT(D429,2*LEN(D429)-LENB(D429))/$A$1,3),((ROUND(LEFT(D429,2*LEN(D429)-LENB(D429))/$A$1,3))*VLOOKUP(H429,食材表!$A:$B,2,FALSE))),"")</f>
        <v>0.02</v>
      </c>
      <c r="J429" s="93" t="str">
        <f t="shared" ref="J429:J430" si="299">E429</f>
        <v>韭菜</v>
      </c>
      <c r="K429" s="86">
        <f>IFERROR(IF(LEN(F429)=LENB(F429),ROUND(LEFT(F429,2*LEN(F429)-LENB(F429))/$A$1,3),((ROUND(LEFT(F429,2*LEN(F429)-LENB(F429))/$A$1,3))*VLOOKUP(J429,食材表!$A:$B,2,FALSE))),"")</f>
        <v>2E-3</v>
      </c>
      <c r="L429" s="343"/>
      <c r="M429" s="343"/>
      <c r="N429" s="343"/>
      <c r="O429" s="343"/>
      <c r="P429" s="343"/>
      <c r="Q429" s="343"/>
      <c r="R429" s="343"/>
      <c r="S429" s="343"/>
    </row>
    <row r="430" spans="1:19">
      <c r="A430" s="33" t="str">
        <f>"3"&amp;+$B428</f>
        <v>3台式炒麵</v>
      </c>
      <c r="B430" s="351"/>
      <c r="C430" s="26" t="s">
        <v>160</v>
      </c>
      <c r="D430" s="37">
        <v>0.5</v>
      </c>
      <c r="E430" s="14" t="s">
        <v>285</v>
      </c>
      <c r="F430" s="37" t="s">
        <v>238</v>
      </c>
      <c r="G430" s="354"/>
      <c r="H430" s="92" t="str">
        <f t="shared" si="298"/>
        <v>胡蘿蔔</v>
      </c>
      <c r="I430" s="84">
        <f>IFERROR(IF(LEN(D430)=LENB(D430),ROUND(LEFT(D430,2*LEN(D430)-LENB(D430))/$A$1,3),((ROUND(LEFT(D430,2*LEN(D430)-LENB(D430))/$A$1,3))*VLOOKUP(H430,食材表!$A:$B,2,FALSE))),"")</f>
        <v>0.01</v>
      </c>
      <c r="J430" s="92" t="str">
        <f t="shared" si="299"/>
        <v>油蔥酥</v>
      </c>
      <c r="K430" s="85">
        <f>IFERROR(IF(LEN(F430)=LENB(F430),ROUND(LEFT(F430,2*LEN(F430)-LENB(F430))/$A$1,3),((ROUND(LEFT(F430,2*LEN(F430)-LENB(F430))/$A$1,3))*VLOOKUP(J430,食材表!$A:$B,2,FALSE))),"")</f>
        <v>3.0000000000000001E-3</v>
      </c>
      <c r="L430" s="344"/>
      <c r="M430" s="344"/>
      <c r="N430" s="344"/>
      <c r="O430" s="344"/>
      <c r="P430" s="344"/>
      <c r="Q430" s="344"/>
      <c r="R430" s="344"/>
      <c r="S430" s="344"/>
    </row>
    <row r="431" spans="1:19">
      <c r="A431" s="33" t="str">
        <f>"1"&amp;+$B431</f>
        <v>1家常肉絲炒麵</v>
      </c>
      <c r="B431" s="355" t="s">
        <v>1115</v>
      </c>
      <c r="C431" s="57" t="s">
        <v>47</v>
      </c>
      <c r="D431" s="56">
        <v>0.6</v>
      </c>
      <c r="E431" s="58" t="s">
        <v>369</v>
      </c>
      <c r="F431" s="56">
        <v>0.6</v>
      </c>
      <c r="G431" s="352" t="str">
        <f t="shared" ref="G431" si="300">B431</f>
        <v>家常肉絲炒麵</v>
      </c>
      <c r="H431" s="91" t="str">
        <f>C431</f>
        <v>豬肉絲</v>
      </c>
      <c r="I431" s="83">
        <f>IFERROR(IF(LEN(D431)=LENB(D431),ROUND(LEFT(D431,2*LEN(D431)-LENB(D431))/$A$1,3),((ROUND(LEFT(D431,2*LEN(D431)-LENB(D431))/$A$1,3))*VLOOKUP(H431,食材表!$A:$B,2,FALSE))),"")</f>
        <v>1.2E-2</v>
      </c>
      <c r="J431" s="91" t="str">
        <f>E431</f>
        <v>竹輪</v>
      </c>
      <c r="K431" s="83">
        <f>IFERROR(IF(LEN(F431)=LENB(F431),ROUND(LEFT(F431,2*LEN(F431)-LENB(F431))/$A$1,3),((ROUND(LEFT(F431,2*LEN(F431)-LENB(F431))/$A$1,3))*VLOOKUP(J431,食材表!$A:$B,2,FALSE))),"")</f>
        <v>1.2E-2</v>
      </c>
      <c r="L431" s="342">
        <f>IFERROR($I431*VLOOKUP($H431,食材表!$A:C,3,FALSE),0)+IFERROR($I432*VLOOKUP($H432,食材表!$A:C,3,FALSE),0)+IFERROR($I433*VLOOKUP($H433,食材表!$A:C,3,FALSE),0)+IFERROR($K431*VLOOKUP($J431,食材表!$A:C,3,FALSE),0)+IFERROR($K432*VLOOKUP($J432,食材表!$A:C,3,FALSE),0)+IFERROR($K433*VLOOKUP($J433,食材表!$A:C,3,FALSE),0)</f>
        <v>0</v>
      </c>
      <c r="M431" s="342">
        <f>IFERROR($I431*VLOOKUP($H431,食材表!$A:D,4,FALSE),0)+IFERROR($I432*VLOOKUP($H432,食材表!$A:D,4,FALSE),0)+IFERROR($I433*VLOOKUP($H433,食材表!$A:D,4,FALSE),0)+IFERROR($K431*VLOOKUP($J431,食材表!$A:D,4,FALSE),0)+IFERROR($K432*VLOOKUP($J432,食材表!$A:D,4,FALSE),0)+IFERROR($K433*VLOOKUP($J433,食材表!$A:D,4,FALSE),0)</f>
        <v>0.51428571428571423</v>
      </c>
      <c r="N431" s="342">
        <f>IFERROR($I431*VLOOKUP($H431,食材表!$A:E,5,FALSE),0)+IFERROR($I432*VLOOKUP($H432,食材表!$A:E,5,FALSE),0)+IFERROR($I433*VLOOKUP($H433,食材表!$A:E,5,FALSE),0)+IFERROR($K431*VLOOKUP($J431,食材表!$A:E,5,FALSE),0)+IFERROR($K432*VLOOKUP($J432,食材表!$A:E,5,FALSE),0)+IFERROR($K433*VLOOKUP($J433,食材表!$A:E,5,FALSE),0)</f>
        <v>0</v>
      </c>
      <c r="O431" s="342">
        <f>IFERROR($I431*VLOOKUP($H431,食材表!$A:F,6,FALSE),0)+IFERROR($I432*VLOOKUP($H432,食材表!$A:F,6,FALSE),0)+IFERROR($I433*VLOOKUP($H433,食材表!$A:F,6,FALSE),0)+IFERROR($K431*VLOOKUP($J431,食材表!$A:F,6,FALSE),0)+IFERROR($K432*VLOOKUP($J432,食材表!$A:F,6,FALSE),0)+IFERROR($K433*VLOOKUP($J433,食材表!$A:F,6,FALSE),0)</f>
        <v>0.08</v>
      </c>
      <c r="P431" s="342">
        <f>IFERROR($I431*VLOOKUP($H431,食材表!$A:G,7,FALSE),0)+IFERROR($I432*VLOOKUP($H432,食材表!$A:G,7,FALSE),0)+IFERROR($I433*VLOOKUP($H433,食材表!$A:G,7,FALSE),0)+IFERROR($K431*VLOOKUP($J431,食材表!$A:G,7,FALSE),0)+IFERROR($K432*VLOOKUP($J432,食材表!$A:G,7,FALSE),0)+IFERROR($K433*VLOOKUP($J433,食材表!$A:G,7,FALSE),0)</f>
        <v>0</v>
      </c>
      <c r="Q431" s="342">
        <f>IFERROR($I431*VLOOKUP($H431,食材表!$A:H,8,FALSE),0)+IFERROR($I432*VLOOKUP($H432,食材表!$A:H,8,FALSE),0)+IFERROR($I433*VLOOKUP($H433,食材表!$A:H,8,FALSE),0)+IFERROR($K431*VLOOKUP($J431,食材表!$A:H,8,FALSE),0)+IFERROR($K432*VLOOKUP($J432,食材表!$A:H,8,FALSE),0)+IFERROR($K433*VLOOKUP($J433,食材表!$A:H,8,FALSE),0)</f>
        <v>0</v>
      </c>
      <c r="R431" s="342">
        <f>IFERROR($I431*VLOOKUP($H431,食材表!$A:I,9,FALSE),0)+IFERROR($I432*VLOOKUP($H432,食材表!$A:I,9,FALSE),0)+IFERROR($I433*VLOOKUP($H433,食材表!$A:I,9,FALSE),0)+IFERROR($K431*VLOOKUP($J431,食材表!$A:I,9,FALSE),0)+IFERROR($K432*VLOOKUP($J432,食材表!$A:I,9,FALSE),0)+IFERROR($K433*VLOOKUP($J433,食材表!$A:I,9,FALSE),0)</f>
        <v>0</v>
      </c>
      <c r="S431" s="342">
        <f t="shared" ref="S431" si="301">SUM(L431*70+M431*75+N431*120+O431*25+P431*60+Q431*45+R431*4)</f>
        <v>40.571428571428569</v>
      </c>
    </row>
    <row r="432" spans="1:19">
      <c r="A432" s="33" t="str">
        <f>"2"&amp;+$B431</f>
        <v>2家常肉絲炒麵</v>
      </c>
      <c r="B432" s="356"/>
      <c r="C432" s="50" t="s">
        <v>1116</v>
      </c>
      <c r="D432" s="40">
        <v>4.2</v>
      </c>
      <c r="E432" s="27" t="s">
        <v>75</v>
      </c>
      <c r="F432" s="33">
        <v>0.2</v>
      </c>
      <c r="G432" s="353"/>
      <c r="H432" s="93" t="str">
        <f>C432</f>
        <v>扁白油麵</v>
      </c>
      <c r="I432" s="86">
        <f>IFERROR(IF(LEN(D432)=LENB(D432),ROUND(LEFT(D432,2*LEN(D432)-LENB(D432))/$A$1,3),((ROUND(LEFT(D432,2*LEN(D432)-LENB(D432))/$A$1,3))*VLOOKUP(H432,食材表!$A:$B,2,FALSE))),"")</f>
        <v>8.4000000000000005E-2</v>
      </c>
      <c r="J432" s="93" t="str">
        <f>E432</f>
        <v>紅蘿蔔</v>
      </c>
      <c r="K432" s="86">
        <f>IFERROR(IF(LEN(F432)=LENB(F432),ROUND(LEFT(F432,2*LEN(F432)-LENB(F432))/$A$1,3),((ROUND(LEFT(F432,2*LEN(F432)-LENB(F432))/$A$1,3))*VLOOKUP(J432,食材表!$A:$B,2,FALSE))),"")</f>
        <v>4.0000000000000001E-3</v>
      </c>
      <c r="L432" s="343"/>
      <c r="M432" s="343"/>
      <c r="N432" s="343"/>
      <c r="O432" s="343"/>
      <c r="P432" s="343"/>
      <c r="Q432" s="343"/>
      <c r="R432" s="343"/>
      <c r="S432" s="343"/>
    </row>
    <row r="433" spans="1:19">
      <c r="A433" s="33" t="str">
        <f>"3"&amp;+$B431</f>
        <v>3家常肉絲炒麵</v>
      </c>
      <c r="B433" s="357"/>
      <c r="C433" s="28" t="s">
        <v>326</v>
      </c>
      <c r="D433" s="8">
        <v>0.1</v>
      </c>
      <c r="E433" s="29" t="s">
        <v>315</v>
      </c>
      <c r="F433" s="8">
        <v>0.2</v>
      </c>
      <c r="G433" s="354"/>
      <c r="H433" s="92" t="str">
        <f>C433</f>
        <v>蝦米</v>
      </c>
      <c r="I433" s="84">
        <f>IFERROR(IF(LEN(D433)=LENB(D433),ROUND(LEFT(D433,2*LEN(D433)-LENB(D433))/$A$1,3),((ROUND(LEFT(D433,2*LEN(D433)-LENB(D433))/$A$1,3))*VLOOKUP(H433,食材表!$A:$B,2,FALSE))),"")</f>
        <v>2E-3</v>
      </c>
      <c r="J433" s="92" t="str">
        <f>E433</f>
        <v>韭菜</v>
      </c>
      <c r="K433" s="85">
        <f>IFERROR(IF(LEN(F433)=LENB(F433),ROUND(LEFT(F433,2*LEN(F433)-LENB(F433))/$A$1,3),((ROUND(LEFT(F433,2*LEN(F433)-LENB(F433))/$A$1,3))*VLOOKUP(J433,食材表!$A:$B,2,FALSE))),"")</f>
        <v>4.0000000000000001E-3</v>
      </c>
      <c r="L433" s="344"/>
      <c r="M433" s="344"/>
      <c r="N433" s="344"/>
      <c r="O433" s="344"/>
      <c r="P433" s="344"/>
      <c r="Q433" s="344"/>
      <c r="R433" s="344"/>
      <c r="S433" s="344"/>
    </row>
    <row r="434" spans="1:19">
      <c r="A434" s="33" t="str">
        <f>"1"&amp;+$B434</f>
        <v>1肉絲炒麵</v>
      </c>
      <c r="B434" s="389" t="s">
        <v>191</v>
      </c>
      <c r="C434" s="72" t="s">
        <v>164</v>
      </c>
      <c r="D434" s="59">
        <v>4.2</v>
      </c>
      <c r="E434" s="60" t="s">
        <v>165</v>
      </c>
      <c r="F434" s="36">
        <v>0.8</v>
      </c>
      <c r="G434" s="352" t="str">
        <f>B434</f>
        <v>肉絲炒麵</v>
      </c>
      <c r="H434" s="91" t="str">
        <f>C434</f>
        <v>細烏龍麵</v>
      </c>
      <c r="I434" s="83">
        <f>IFERROR(IF(LEN(D434)=LENB(D434),ROUND(LEFT(D434,2*LEN(D434)-LENB(D434))/$A$1,3),((ROUND(LEFT(D434,2*LEN(D434)-LENB(D434))/$A$1,3))*VLOOKUP(H434,食材表!$A:$B,2,FALSE))),"")</f>
        <v>8.4000000000000005E-2</v>
      </c>
      <c r="J434" s="91" t="str">
        <f>E434</f>
        <v>小白菜</v>
      </c>
      <c r="K434" s="83">
        <f>IFERROR(IF(LEN(F434)=LENB(F434),ROUND(LEFT(F434,2*LEN(F434)-LENB(F434))/$A$1,3),((ROUND(LEFT(F434,2*LEN(F434)-LENB(F434))/$A$1,3))*VLOOKUP(J434,食材表!$A:$B,2,FALSE))),"")</f>
        <v>1.6E-2</v>
      </c>
      <c r="L434" s="342">
        <f>IFERROR($I434*VLOOKUP($H434,食材表!$A:C,3,FALSE),0)+IFERROR($I435*VLOOKUP($H435,食材表!$A:C,3,FALSE),0)+IFERROR($I436*VLOOKUP($H436,食材表!$A:C,3,FALSE),0)+IFERROR($K434*VLOOKUP($J434,食材表!$A:C,3,FALSE),0)+IFERROR($K435*VLOOKUP($J435,食材表!$A:C,3,FALSE),0)+IFERROR($K436*VLOOKUP($J436,食材表!$A:C,3,FALSE),0)</f>
        <v>1.4000000000000001</v>
      </c>
      <c r="M434" s="342">
        <f>IFERROR($I434*VLOOKUP($H434,食材表!$A:D,4,FALSE),0)+IFERROR($I435*VLOOKUP($H435,食材表!$A:D,4,FALSE),0)+IFERROR($I436*VLOOKUP($H436,食材表!$A:D,4,FALSE),0)+IFERROR($K434*VLOOKUP($J434,食材表!$A:D,4,FALSE),0)+IFERROR($K435*VLOOKUP($J435,食材表!$A:D,4,FALSE),0)+IFERROR($K436*VLOOKUP($J436,食材表!$A:D,4,FALSE),0)</f>
        <v>0.51428571428571423</v>
      </c>
      <c r="N434" s="342">
        <f>IFERROR($I434*VLOOKUP($H434,食材表!$A:E,5,FALSE),0)+IFERROR($I435*VLOOKUP($H435,食材表!$A:E,5,FALSE),0)+IFERROR($I436*VLOOKUP($H436,食材表!$A:E,5,FALSE),0)+IFERROR($K434*VLOOKUP($J434,食材表!$A:E,5,FALSE),0)+IFERROR($K435*VLOOKUP($J435,食材表!$A:E,5,FALSE),0)+IFERROR($K436*VLOOKUP($J436,食材表!$A:E,5,FALSE),0)</f>
        <v>0</v>
      </c>
      <c r="O434" s="342">
        <f>IFERROR($I434*VLOOKUP($H434,食材表!$A:F,6,FALSE),0)+IFERROR($I435*VLOOKUP($H435,食材表!$A:F,6,FALSE),0)+IFERROR($I436*VLOOKUP($H436,食材表!$A:F,6,FALSE),0)+IFERROR($K434*VLOOKUP($J434,食材表!$A:F,6,FALSE),0)+IFERROR($K435*VLOOKUP($J435,食材表!$A:F,6,FALSE),0)+IFERROR($K436*VLOOKUP($J436,食材表!$A:F,6,FALSE),0)</f>
        <v>0.27</v>
      </c>
      <c r="P434" s="342">
        <f>IFERROR($I434*VLOOKUP($H434,食材表!$A:G,7,FALSE),0)+IFERROR($I435*VLOOKUP($H435,食材表!$A:G,7,FALSE),0)+IFERROR($I436*VLOOKUP($H436,食材表!$A:G,7,FALSE),0)+IFERROR($K434*VLOOKUP($J434,食材表!$A:G,7,FALSE),0)+IFERROR($K435*VLOOKUP($J435,食材表!$A:G,7,FALSE),0)+IFERROR($K436*VLOOKUP($J436,食材表!$A:G,7,FALSE),0)</f>
        <v>0</v>
      </c>
      <c r="Q434" s="342">
        <f>IFERROR($I434*VLOOKUP($H434,食材表!$A:H,8,FALSE),0)+IFERROR($I435*VLOOKUP($H435,食材表!$A:H,8,FALSE),0)+IFERROR($I436*VLOOKUP($H436,食材表!$A:H,8,FALSE),0)+IFERROR($K434*VLOOKUP($J434,食材表!$A:H,8,FALSE),0)+IFERROR($K435*VLOOKUP($J435,食材表!$A:H,8,FALSE),0)+IFERROR($K436*VLOOKUP($J436,食材表!$A:H,8,FALSE),0)</f>
        <v>0</v>
      </c>
      <c r="R434" s="342">
        <f>IFERROR($I434*VLOOKUP($H434,食材表!$A:I,9,FALSE),0)+IFERROR($I435*VLOOKUP($H435,食材表!$A:I,9,FALSE),0)+IFERROR($I436*VLOOKUP($H436,食材表!$A:I,9,FALSE),0)+IFERROR($K434*VLOOKUP($J434,食材表!$A:I,9,FALSE),0)+IFERROR($K435*VLOOKUP($J435,食材表!$A:I,9,FALSE),0)+IFERROR($K436*VLOOKUP($J436,食材表!$A:I,9,FALSE),0)</f>
        <v>0</v>
      </c>
      <c r="S434" s="342">
        <f>SUM(L434*70+M434*75+N434*120+O434*25+P434*60+Q434*45+R434*4)</f>
        <v>143.32142857142858</v>
      </c>
    </row>
    <row r="435" spans="1:19">
      <c r="A435" s="33" t="str">
        <f>"2"&amp;+$B434</f>
        <v>2肉絲炒麵</v>
      </c>
      <c r="B435" s="272"/>
      <c r="C435" s="22" t="s">
        <v>47</v>
      </c>
      <c r="D435" s="36">
        <v>0.6</v>
      </c>
      <c r="E435" s="22" t="s">
        <v>83</v>
      </c>
      <c r="F435" s="36">
        <v>0.3</v>
      </c>
      <c r="G435" s="353"/>
      <c r="H435" s="93" t="str">
        <f t="shared" ref="H435:H436" si="302">C435</f>
        <v>豬肉絲</v>
      </c>
      <c r="I435" s="86">
        <f>IFERROR(IF(LEN(D435)=LENB(D435),ROUND(LEFT(D435,2*LEN(D435)-LENB(D435))/$A$1,3),((ROUND(LEFT(D435,2*LEN(D435)-LENB(D435))/$A$1,3))*VLOOKUP(H435,食材表!$A:$B,2,FALSE))),"")</f>
        <v>1.2E-2</v>
      </c>
      <c r="J435" s="93" t="str">
        <f t="shared" ref="J435:J436" si="303">E435</f>
        <v>木耳</v>
      </c>
      <c r="K435" s="86">
        <f>IFERROR(IF(LEN(F435)=LENB(F435),ROUND(LEFT(F435,2*LEN(F435)-LENB(F435))/$A$1,3),((ROUND(LEFT(F435,2*LEN(F435)-LENB(F435))/$A$1,3))*VLOOKUP(J435,食材表!$A:$B,2,FALSE))),"")</f>
        <v>6.0000000000000001E-3</v>
      </c>
      <c r="L435" s="343"/>
      <c r="M435" s="343"/>
      <c r="N435" s="343"/>
      <c r="O435" s="343"/>
      <c r="P435" s="343"/>
      <c r="Q435" s="343"/>
      <c r="R435" s="343"/>
      <c r="S435" s="343"/>
    </row>
    <row r="436" spans="1:19">
      <c r="A436" s="33" t="str">
        <f>"3"&amp;+$B434</f>
        <v>3肉絲炒麵</v>
      </c>
      <c r="B436" s="273"/>
      <c r="C436" s="26" t="s">
        <v>160</v>
      </c>
      <c r="D436" s="37" t="s">
        <v>958</v>
      </c>
      <c r="E436" s="26" t="s">
        <v>369</v>
      </c>
      <c r="F436" s="37">
        <v>0.6</v>
      </c>
      <c r="G436" s="354"/>
      <c r="H436" s="92" t="str">
        <f t="shared" si="302"/>
        <v>胡蘿蔔</v>
      </c>
      <c r="I436" s="84">
        <f>IFERROR(IF(LEN(D436)=LENB(D436),ROUND(LEFT(D436,2*LEN(D436)-LENB(D436))/$A$1,3),((ROUND(LEFT(D436,2*LEN(D436)-LENB(D436))/$A$1,3))*VLOOKUP(H436,食材表!$A:$B,2,FALSE))),"")</f>
        <v>5.0000000000000001E-3</v>
      </c>
      <c r="J436" s="92" t="str">
        <f t="shared" si="303"/>
        <v>竹輪</v>
      </c>
      <c r="K436" s="85">
        <f>IFERROR(IF(LEN(F436)=LENB(F436),ROUND(LEFT(F436,2*LEN(F436)-LENB(F436))/$A$1,3),((ROUND(LEFT(F436,2*LEN(F436)-LENB(F436))/$A$1,3))*VLOOKUP(J436,食材表!$A:$B,2,FALSE))),"")</f>
        <v>1.2E-2</v>
      </c>
      <c r="L436" s="344"/>
      <c r="M436" s="344"/>
      <c r="N436" s="344"/>
      <c r="O436" s="344"/>
      <c r="P436" s="344"/>
      <c r="Q436" s="344"/>
      <c r="R436" s="344"/>
      <c r="S436" s="344"/>
    </row>
    <row r="437" spans="1:19">
      <c r="A437" s="33" t="str">
        <f>"1"&amp;+$B437</f>
        <v>1紅燒豬肉麵</v>
      </c>
      <c r="B437" s="386" t="s">
        <v>176</v>
      </c>
      <c r="C437" s="60" t="s">
        <v>177</v>
      </c>
      <c r="D437" s="59">
        <v>0.8</v>
      </c>
      <c r="E437" s="60" t="s">
        <v>161</v>
      </c>
      <c r="F437" s="36">
        <v>0.5</v>
      </c>
      <c r="G437" s="352" t="str">
        <f>B437</f>
        <v>紅燒豬肉麵</v>
      </c>
      <c r="H437" s="91" t="str">
        <f>C437</f>
        <v>豬肉塊</v>
      </c>
      <c r="I437" s="83">
        <f>IFERROR(IF(LEN(D437)=LENB(D437),ROUND(LEFT(D437,2*LEN(D437)-LENB(D437))/$A$1,3),((ROUND(LEFT(D437,2*LEN(D437)-LENB(D437))/$A$1,3))*VLOOKUP(H437,食材表!$A:$B,2,FALSE))),"")</f>
        <v>1.6E-2</v>
      </c>
      <c r="J437" s="91" t="str">
        <f>E437</f>
        <v>洋蔥</v>
      </c>
      <c r="K437" s="83">
        <f>IFERROR(IF(LEN(F437)=LENB(F437),ROUND(LEFT(F437,2*LEN(F437)-LENB(F437))/$A$1,3),((ROUND(LEFT(F437,2*LEN(F437)-LENB(F437))/$A$1,3))*VLOOKUP(J437,食材表!$A:$B,2,FALSE))),"")</f>
        <v>0.01</v>
      </c>
      <c r="L437" s="342">
        <f>IFERROR($I437*VLOOKUP($H437,食材表!$A:C,3,FALSE),0)+IFERROR($I438*VLOOKUP($H438,食材表!$A:C,3,FALSE),0)+IFERROR($I439*VLOOKUP($H439,食材表!$A:C,3,FALSE),0)+IFERROR($K437*VLOOKUP($J437,食材表!$A:C,3,FALSE),0)+IFERROR($K438*VLOOKUP($J438,食材表!$A:C,3,FALSE),0)+IFERROR($K439*VLOOKUP($J439,食材表!$A:C,3,FALSE),0)</f>
        <v>2.4</v>
      </c>
      <c r="M437" s="342">
        <f>IFERROR($I437*VLOOKUP($H437,食材表!$A:D,4,FALSE),0)+IFERROR($I438*VLOOKUP($H438,食材表!$A:D,4,FALSE),0)+IFERROR($I439*VLOOKUP($H439,食材表!$A:D,4,FALSE),0)+IFERROR($K437*VLOOKUP($J437,食材表!$A:D,4,FALSE),0)+IFERROR($K438*VLOOKUP($J438,食材表!$A:D,4,FALSE),0)+IFERROR($K439*VLOOKUP($J439,食材表!$A:D,4,FALSE),0)</f>
        <v>0.45714285714285718</v>
      </c>
      <c r="N437" s="342">
        <f>IFERROR($I437*VLOOKUP($H437,食材表!$A:E,5,FALSE),0)+IFERROR($I438*VLOOKUP($H438,食材表!$A:E,5,FALSE),0)+IFERROR($I439*VLOOKUP($H439,食材表!$A:E,5,FALSE),0)+IFERROR($K437*VLOOKUP($J437,食材表!$A:E,5,FALSE),0)+IFERROR($K438*VLOOKUP($J438,食材表!$A:E,5,FALSE),0)+IFERROR($K439*VLOOKUP($J439,食材表!$A:E,5,FALSE),0)</f>
        <v>0</v>
      </c>
      <c r="O437" s="342">
        <f>IFERROR($I437*VLOOKUP($H437,食材表!$A:F,6,FALSE),0)+IFERROR($I438*VLOOKUP($H438,食材表!$A:F,6,FALSE),0)+IFERROR($I439*VLOOKUP($H439,食材表!$A:F,6,FALSE),0)+IFERROR($K437*VLOOKUP($J437,食材表!$A:F,6,FALSE),0)+IFERROR($K438*VLOOKUP($J438,食材表!$A:F,6,FALSE),0)+IFERROR($K439*VLOOKUP($J439,食材表!$A:F,6,FALSE),0)</f>
        <v>0.2</v>
      </c>
      <c r="P437" s="342">
        <f>IFERROR($I437*VLOOKUP($H437,食材表!$A:G,7,FALSE),0)+IFERROR($I438*VLOOKUP($H438,食材表!$A:G,7,FALSE),0)+IFERROR($I439*VLOOKUP($H439,食材表!$A:G,7,FALSE),0)+IFERROR($K437*VLOOKUP($J437,食材表!$A:G,7,FALSE),0)+IFERROR($K438*VLOOKUP($J438,食材表!$A:G,7,FALSE),0)+IFERROR($K439*VLOOKUP($J439,食材表!$A:G,7,FALSE),0)</f>
        <v>0</v>
      </c>
      <c r="Q437" s="342">
        <f>IFERROR($I437*VLOOKUP($H437,食材表!$A:H,8,FALSE),0)+IFERROR($I438*VLOOKUP($H438,食材表!$A:H,8,FALSE),0)+IFERROR($I439*VLOOKUP($H439,食材表!$A:H,8,FALSE),0)+IFERROR($K437*VLOOKUP($J437,食材表!$A:H,8,FALSE),0)+IFERROR($K438*VLOOKUP($J438,食材表!$A:H,8,FALSE),0)+IFERROR($K439*VLOOKUP($J439,食材表!$A:H,8,FALSE),0)</f>
        <v>0</v>
      </c>
      <c r="R437" s="342">
        <f>IFERROR($I437*VLOOKUP($H437,食材表!$A:I,9,FALSE),0)+IFERROR($I438*VLOOKUP($H438,食材表!$A:I,9,FALSE),0)+IFERROR($I439*VLOOKUP($H439,食材表!$A:I,9,FALSE),0)+IFERROR($K437*VLOOKUP($J437,食材表!$A:I,9,FALSE),0)+IFERROR($K438*VLOOKUP($J438,食材表!$A:I,9,FALSE),0)+IFERROR($K439*VLOOKUP($J439,食材表!$A:I,9,FALSE),0)</f>
        <v>0</v>
      </c>
      <c r="S437" s="342">
        <f>SUM(L437*70+M437*75+N437*120+O437*25+P437*60+Q437*45+R437*4)</f>
        <v>207.28571428571428</v>
      </c>
    </row>
    <row r="438" spans="1:19">
      <c r="A438" s="33" t="str">
        <f>"2"&amp;+$B437</f>
        <v>2紅燒豬肉麵</v>
      </c>
      <c r="B438" s="387"/>
      <c r="C438" s="22" t="s">
        <v>75</v>
      </c>
      <c r="D438" s="36">
        <v>0.5</v>
      </c>
      <c r="E438" s="22" t="s">
        <v>1217</v>
      </c>
      <c r="F438" s="36">
        <v>3</v>
      </c>
      <c r="G438" s="353"/>
      <c r="H438" s="93" t="str">
        <f t="shared" ref="H438:H439" si="304">C438</f>
        <v>紅蘿蔔</v>
      </c>
      <c r="I438" s="86">
        <f>IFERROR(IF(LEN(D438)=LENB(D438),ROUND(LEFT(D438,2*LEN(D438)-LENB(D438))/$A$1,3),((ROUND(LEFT(D438,2*LEN(D438)-LENB(D438))/$A$1,3))*VLOOKUP(H438,食材表!$A:$B,2,FALSE))),"")</f>
        <v>0.01</v>
      </c>
      <c r="J438" s="93" t="str">
        <f t="shared" ref="J438:J439" si="305">E438</f>
        <v>家常麵</v>
      </c>
      <c r="K438" s="86">
        <f>IFERROR(IF(LEN(F438)=LENB(F438),ROUND(LEFT(F438,2*LEN(F438)-LENB(F438))/$A$1,3),((ROUND(LEFT(F438,2*LEN(F438)-LENB(F438))/$A$1,3))*VLOOKUP(J438,食材表!$A:$B,2,FALSE))),"")</f>
        <v>0.06</v>
      </c>
      <c r="L438" s="343"/>
      <c r="M438" s="343"/>
      <c r="N438" s="343"/>
      <c r="O438" s="343"/>
      <c r="P438" s="343"/>
      <c r="Q438" s="343"/>
      <c r="R438" s="343"/>
      <c r="S438" s="343"/>
    </row>
    <row r="439" spans="1:19">
      <c r="A439" s="33" t="str">
        <f>"3"&amp;+$B437</f>
        <v>3紅燒豬肉麵</v>
      </c>
      <c r="B439" s="388"/>
      <c r="C439" s="26" t="s">
        <v>51</v>
      </c>
      <c r="D439" s="37">
        <v>1</v>
      </c>
      <c r="E439" s="26" t="s">
        <v>938</v>
      </c>
      <c r="F439" s="37">
        <v>0.1</v>
      </c>
      <c r="G439" s="354"/>
      <c r="H439" s="92" t="str">
        <f t="shared" si="304"/>
        <v>白蘿蔔</v>
      </c>
      <c r="I439" s="84">
        <f>IFERROR(IF(LEN(D439)=LENB(D439),ROUND(LEFT(D439,2*LEN(D439)-LENB(D439))/$A$1,3),((ROUND(LEFT(D439,2*LEN(D439)-LENB(D439))/$A$1,3))*VLOOKUP(H439,食材表!$A:$B,2,FALSE))),"")</f>
        <v>0.02</v>
      </c>
      <c r="J439" s="92" t="str">
        <f t="shared" si="305"/>
        <v>八角</v>
      </c>
      <c r="K439" s="85">
        <f>IFERROR(IF(LEN(F439)=LENB(F439),ROUND(LEFT(F439,2*LEN(F439)-LENB(F439))/$A$1,3),((ROUND(LEFT(F439,2*LEN(F439)-LENB(F439))/$A$1,3))*VLOOKUP(J439,食材表!$A:$B,2,FALSE))),"")</f>
        <v>2E-3</v>
      </c>
      <c r="L439" s="344"/>
      <c r="M439" s="344"/>
      <c r="N439" s="344"/>
      <c r="O439" s="344"/>
      <c r="P439" s="344"/>
      <c r="Q439" s="344"/>
      <c r="R439" s="344"/>
      <c r="S439" s="344"/>
    </row>
    <row r="440" spans="1:19">
      <c r="A440" s="33" t="str">
        <f>"1"&amp;+$B440</f>
        <v>1瘦肉拉麵</v>
      </c>
      <c r="B440" s="377" t="s">
        <v>1027</v>
      </c>
      <c r="C440" s="55" t="s">
        <v>1028</v>
      </c>
      <c r="D440" s="56">
        <v>3</v>
      </c>
      <c r="E440" s="58" t="s">
        <v>160</v>
      </c>
      <c r="F440" s="56" t="s">
        <v>958</v>
      </c>
      <c r="G440" s="352" t="str">
        <f>B440</f>
        <v>瘦肉拉麵</v>
      </c>
      <c r="H440" s="91" t="str">
        <f>C440</f>
        <v>拉麵</v>
      </c>
      <c r="I440" s="83">
        <f>IFERROR(IF(LEN(D440)=LENB(D440),ROUND(LEFT(D440,2*LEN(D440)-LENB(D440))/$A$1,3),((ROUND(LEFT(D440,2*LEN(D440)-LENB(D440))/$A$1,3))*VLOOKUP(H440,食材表!$A:$B,2,FALSE))),"")</f>
        <v>0.06</v>
      </c>
      <c r="J440" s="91" t="str">
        <f>E440</f>
        <v>胡蘿蔔</v>
      </c>
      <c r="K440" s="83">
        <f>IFERROR(IF(LEN(F440)=LENB(F440),ROUND(LEFT(F440,2*LEN(F440)-LENB(F440))/$A$1,3),((ROUND(LEFT(F440,2*LEN(F440)-LENB(F440))/$A$1,3))*VLOOKUP(J440,食材表!$A:$B,2,FALSE))),"")</f>
        <v>5.0000000000000001E-3</v>
      </c>
      <c r="L440" s="342">
        <f>IFERROR($I440*VLOOKUP($H440,食材表!$A:C,3,FALSE),0)+IFERROR($I441*VLOOKUP($H441,食材表!$A:C,3,FALSE),0)+IFERROR($I442*VLOOKUP($H442,食材表!$A:C,3,FALSE),0)+IFERROR($K440*VLOOKUP($J440,食材表!$A:C,3,FALSE),0)+IFERROR($K441*VLOOKUP($J441,食材表!$A:C,3,FALSE),0)+IFERROR($K442*VLOOKUP($J442,食材表!$A:C,3,FALSE),0)</f>
        <v>2.4</v>
      </c>
      <c r="M440" s="342">
        <f>IFERROR($I440*VLOOKUP($H440,食材表!$A:D,4,FALSE),0)+IFERROR($I441*VLOOKUP($H441,食材表!$A:D,4,FALSE),0)+IFERROR($I442*VLOOKUP($H442,食材表!$A:D,4,FALSE),0)+IFERROR($K440*VLOOKUP($J440,食材表!$A:D,4,FALSE),0)+IFERROR($K441*VLOOKUP($J441,食材表!$A:D,4,FALSE),0)+IFERROR($K442*VLOOKUP($J442,食材表!$A:D,4,FALSE),0)</f>
        <v>0.34285714285714286</v>
      </c>
      <c r="N440" s="342">
        <f>IFERROR($I440*VLOOKUP($H440,食材表!$A:E,5,FALSE),0)+IFERROR($I441*VLOOKUP($H441,食材表!$A:E,5,FALSE),0)+IFERROR($I442*VLOOKUP($H442,食材表!$A:E,5,FALSE),0)+IFERROR($K440*VLOOKUP($J440,食材表!$A:E,5,FALSE),0)+IFERROR($K441*VLOOKUP($J441,食材表!$A:E,5,FALSE),0)+IFERROR($K442*VLOOKUP($J442,食材表!$A:E,5,FALSE),0)</f>
        <v>0</v>
      </c>
      <c r="O440" s="342">
        <f>IFERROR($I440*VLOOKUP($H440,食材表!$A:F,6,FALSE),0)+IFERROR($I441*VLOOKUP($H441,食材表!$A:F,6,FALSE),0)+IFERROR($I442*VLOOKUP($H442,食材表!$A:F,6,FALSE),0)+IFERROR($K440*VLOOKUP($J440,食材表!$A:F,6,FALSE),0)+IFERROR($K441*VLOOKUP($J441,食材表!$A:F,6,FALSE),0)+IFERROR($K442*VLOOKUP($J442,食材表!$A:F,6,FALSE),0)</f>
        <v>0.27</v>
      </c>
      <c r="P440" s="342">
        <f>IFERROR($I440*VLOOKUP($H440,食材表!$A:G,7,FALSE),0)+IFERROR($I441*VLOOKUP($H441,食材表!$A:G,7,FALSE),0)+IFERROR($I442*VLOOKUP($H442,食材表!$A:G,7,FALSE),0)+IFERROR($K440*VLOOKUP($J440,食材表!$A:G,7,FALSE),0)+IFERROR($K441*VLOOKUP($J441,食材表!$A:G,7,FALSE),0)+IFERROR($K442*VLOOKUP($J442,食材表!$A:G,7,FALSE),0)</f>
        <v>0</v>
      </c>
      <c r="Q440" s="342">
        <f>IFERROR($I440*VLOOKUP($H440,食材表!$A:H,8,FALSE),0)+IFERROR($I441*VLOOKUP($H441,食材表!$A:H,8,FALSE),0)+IFERROR($I442*VLOOKUP($H442,食材表!$A:H,8,FALSE),0)+IFERROR($K440*VLOOKUP($J440,食材表!$A:H,8,FALSE),0)+IFERROR($K441*VLOOKUP($J441,食材表!$A:H,8,FALSE),0)+IFERROR($K442*VLOOKUP($J442,食材表!$A:H,8,FALSE),0)</f>
        <v>0</v>
      </c>
      <c r="R440" s="342">
        <f>IFERROR($I440*VLOOKUP($H440,食材表!$A:I,9,FALSE),0)+IFERROR($I441*VLOOKUP($H441,食材表!$A:I,9,FALSE),0)+IFERROR($I442*VLOOKUP($H442,食材表!$A:I,9,FALSE),0)+IFERROR($K440*VLOOKUP($J440,食材表!$A:I,9,FALSE),0)+IFERROR($K441*VLOOKUP($J441,食材表!$A:I,9,FALSE),0)+IFERROR($K442*VLOOKUP($J442,食材表!$A:I,9,FALSE),0)</f>
        <v>0</v>
      </c>
      <c r="S440" s="342">
        <f>SUM(L440*70+M440*75+N440*120+O440*25+P440*60+Q440*45+R440*4)</f>
        <v>200.46428571428572</v>
      </c>
    </row>
    <row r="441" spans="1:19">
      <c r="A441" s="33" t="str">
        <f>"2"&amp;+$B440</f>
        <v>2瘦肉拉麵</v>
      </c>
      <c r="B441" s="378"/>
      <c r="C441" s="31" t="s">
        <v>1029</v>
      </c>
      <c r="D441" s="33">
        <v>0.6</v>
      </c>
      <c r="E441" s="27" t="s">
        <v>422</v>
      </c>
      <c r="F441" s="33">
        <v>0.1</v>
      </c>
      <c r="G441" s="353"/>
      <c r="H441" s="93" t="str">
        <f t="shared" ref="H441:H442" si="306">C441</f>
        <v>豬肉片</v>
      </c>
      <c r="I441" s="86">
        <f>IFERROR(IF(LEN(D441)=LENB(D441),ROUND(LEFT(D441,2*LEN(D441)-LENB(D441))/$A$1,3),((ROUND(LEFT(D441,2*LEN(D441)-LENB(D441))/$A$1,3))*VLOOKUP(H441,食材表!$A:$B,2,FALSE))),"")</f>
        <v>1.2E-2</v>
      </c>
      <c r="J441" s="93" t="str">
        <f t="shared" ref="J441:J442" si="307">E441</f>
        <v>青蔥</v>
      </c>
      <c r="K441" s="86">
        <f>IFERROR(IF(LEN(F441)=LENB(F441),ROUND(LEFT(F441,2*LEN(F441)-LENB(F441))/$A$1,3),((ROUND(LEFT(F441,2*LEN(F441)-LENB(F441))/$A$1,3))*VLOOKUP(J441,食材表!$A:$B,2,FALSE))),"")</f>
        <v>2E-3</v>
      </c>
      <c r="L441" s="343"/>
      <c r="M441" s="343"/>
      <c r="N441" s="343"/>
      <c r="O441" s="343"/>
      <c r="P441" s="343"/>
      <c r="Q441" s="343"/>
      <c r="R441" s="343"/>
      <c r="S441" s="343"/>
    </row>
    <row r="442" spans="1:19">
      <c r="A442" s="33" t="str">
        <f>"3"&amp;+$B440</f>
        <v>3瘦肉拉麵</v>
      </c>
      <c r="B442" s="379"/>
      <c r="C442" s="28" t="s">
        <v>74</v>
      </c>
      <c r="D442" s="8">
        <v>0.6</v>
      </c>
      <c r="E442" s="29" t="s">
        <v>316</v>
      </c>
      <c r="F442" s="8">
        <v>0.5</v>
      </c>
      <c r="G442" s="354"/>
      <c r="H442" s="92" t="str">
        <f t="shared" si="306"/>
        <v>青江菜</v>
      </c>
      <c r="I442" s="84">
        <f>IFERROR(IF(LEN(D442)=LENB(D442),ROUND(LEFT(D442,2*LEN(D442)-LENB(D442))/$A$1,3),((ROUND(LEFT(D442,2*LEN(D442)-LENB(D442))/$A$1,3))*VLOOKUP(H442,食材表!$A:$B,2,FALSE))),"")</f>
        <v>1.2E-2</v>
      </c>
      <c r="J442" s="92" t="str">
        <f t="shared" si="307"/>
        <v>豆芽菜</v>
      </c>
      <c r="K442" s="85">
        <f>IFERROR(IF(LEN(F442)=LENB(F442),ROUND(LEFT(F442,2*LEN(F442)-LENB(F442))/$A$1,3),((ROUND(LEFT(F442,2*LEN(F442)-LENB(F442))/$A$1,3))*VLOOKUP(J442,食材表!$A:$B,2,FALSE))),"")</f>
        <v>0.01</v>
      </c>
      <c r="L442" s="344"/>
      <c r="M442" s="344"/>
      <c r="N442" s="344"/>
      <c r="O442" s="344"/>
      <c r="P442" s="344"/>
      <c r="Q442" s="344"/>
      <c r="R442" s="344"/>
      <c r="S442" s="344"/>
    </row>
    <row r="443" spans="1:19">
      <c r="A443" s="33" t="str">
        <f>"1"&amp;+$B443</f>
        <v>1味噌拉麵</v>
      </c>
      <c r="B443" s="355" t="s">
        <v>1091</v>
      </c>
      <c r="C443" s="57" t="s">
        <v>404</v>
      </c>
      <c r="D443" s="56">
        <v>3.6</v>
      </c>
      <c r="E443" s="58" t="s">
        <v>188</v>
      </c>
      <c r="F443" s="56">
        <v>0.6</v>
      </c>
      <c r="G443" s="352" t="str">
        <f t="shared" ref="G443" si="308">B443</f>
        <v>味噌拉麵</v>
      </c>
      <c r="H443" s="91" t="str">
        <f t="shared" ref="H443:H449" si="309">C443</f>
        <v>拉麵</v>
      </c>
      <c r="I443" s="83">
        <f>IFERROR(IF(LEN(D443)=LENB(D443),ROUND(LEFT(D443,2*LEN(D443)-LENB(D443))/$A$1,3),((ROUND(LEFT(D443,2*LEN(D443)-LENB(D443))/$A$1,3))*VLOOKUP(H443,食材表!$A:$B,2,FALSE))),"")</f>
        <v>7.1999999999999995E-2</v>
      </c>
      <c r="J443" s="91" t="str">
        <f t="shared" ref="J443:J449" si="310">E443</f>
        <v>豬肉片</v>
      </c>
      <c r="K443" s="83">
        <f>IFERROR(IF(LEN(F443)=LENB(F443),ROUND(LEFT(F443,2*LEN(F443)-LENB(F443))/$A$1,3),((ROUND(LEFT(F443,2*LEN(F443)-LENB(F443))/$A$1,3))*VLOOKUP(J443,食材表!$A:$B,2,FALSE))),"")</f>
        <v>1.2E-2</v>
      </c>
      <c r="L443" s="342">
        <f>IFERROR($I443*VLOOKUP($H443,食材表!$A:C,3,FALSE),0)+IFERROR($I444*VLOOKUP($H444,食材表!$A:C,3,FALSE),0)+IFERROR($I445*VLOOKUP($H445,食材表!$A:C,3,FALSE),0)+IFERROR($K443*VLOOKUP($J443,食材表!$A:C,3,FALSE),0)+IFERROR($K444*VLOOKUP($J444,食材表!$A:C,3,FALSE),0)+IFERROR($K445*VLOOKUP($J445,食材表!$A:C,3,FALSE),0)</f>
        <v>3.04</v>
      </c>
      <c r="M443" s="342">
        <f>IFERROR($I443*VLOOKUP($H443,食材表!$A:D,4,FALSE),0)+IFERROR($I444*VLOOKUP($H444,食材表!$A:D,4,FALSE),0)+IFERROR($I445*VLOOKUP($H445,食材表!$A:D,4,FALSE),0)+IFERROR($K443*VLOOKUP($J443,食材表!$A:D,4,FALSE),0)+IFERROR($K444*VLOOKUP($J444,食材表!$A:D,4,FALSE),0)+IFERROR($K445*VLOOKUP($J445,食材表!$A:D,4,FALSE),0)</f>
        <v>0.34285714285714286</v>
      </c>
      <c r="N443" s="342">
        <f>IFERROR($I443*VLOOKUP($H443,食材表!$A:E,5,FALSE),0)+IFERROR($I444*VLOOKUP($H444,食材表!$A:E,5,FALSE),0)+IFERROR($I445*VLOOKUP($H445,食材表!$A:E,5,FALSE),0)+IFERROR($K443*VLOOKUP($J443,食材表!$A:E,5,FALSE),0)+IFERROR($K444*VLOOKUP($J444,食材表!$A:E,5,FALSE),0)+IFERROR($K445*VLOOKUP($J445,食材表!$A:E,5,FALSE),0)</f>
        <v>0</v>
      </c>
      <c r="O443" s="342">
        <f>IFERROR($I443*VLOOKUP($H443,食材表!$A:F,6,FALSE),0)+IFERROR($I444*VLOOKUP($H444,食材表!$A:F,6,FALSE),0)+IFERROR($I445*VLOOKUP($H445,食材表!$A:F,6,FALSE),0)+IFERROR($K443*VLOOKUP($J443,食材表!$A:F,6,FALSE),0)+IFERROR($K444*VLOOKUP($J444,食材表!$A:F,6,FALSE),0)+IFERROR($K445*VLOOKUP($J445,食材表!$A:F,6,FALSE),0)</f>
        <v>0.12</v>
      </c>
      <c r="P443" s="342">
        <f>IFERROR($I443*VLOOKUP($H443,食材表!$A:G,7,FALSE),0)+IFERROR($I444*VLOOKUP($H444,食材表!$A:G,7,FALSE),0)+IFERROR($I445*VLOOKUP($H445,食材表!$A:G,7,FALSE),0)+IFERROR($K443*VLOOKUP($J443,食材表!$A:G,7,FALSE),0)+IFERROR($K444*VLOOKUP($J444,食材表!$A:G,7,FALSE),0)+IFERROR($K445*VLOOKUP($J445,食材表!$A:G,7,FALSE),0)</f>
        <v>0</v>
      </c>
      <c r="Q443" s="342">
        <f>IFERROR($I443*VLOOKUP($H443,食材表!$A:H,8,FALSE),0)+IFERROR($I444*VLOOKUP($H444,食材表!$A:H,8,FALSE),0)+IFERROR($I445*VLOOKUP($H445,食材表!$A:H,8,FALSE),0)+IFERROR($K443*VLOOKUP($J443,食材表!$A:H,8,FALSE),0)+IFERROR($K444*VLOOKUP($J444,食材表!$A:H,8,FALSE),0)+IFERROR($K445*VLOOKUP($J445,食材表!$A:H,8,FALSE),0)</f>
        <v>0</v>
      </c>
      <c r="R443" s="342">
        <f>IFERROR($I443*VLOOKUP($H443,食材表!$A:I,9,FALSE),0)+IFERROR($I444*VLOOKUP($H444,食材表!$A:I,9,FALSE),0)+IFERROR($I445*VLOOKUP($H445,食材表!$A:I,9,FALSE),0)+IFERROR($K443*VLOOKUP($J443,食材表!$A:I,9,FALSE),0)+IFERROR($K444*VLOOKUP($J444,食材表!$A:I,9,FALSE),0)+IFERROR($K445*VLOOKUP($J445,食材表!$A:I,9,FALSE),0)</f>
        <v>0</v>
      </c>
      <c r="S443" s="342">
        <f t="shared" ref="S443" si="311">SUM(L443*70+M443*75+N443*120+O443*25+P443*60+Q443*45+R443*4)</f>
        <v>241.51428571428573</v>
      </c>
    </row>
    <row r="444" spans="1:19">
      <c r="A444" s="33" t="str">
        <f>"2"&amp;+$B443</f>
        <v>2味噌拉麵</v>
      </c>
      <c r="B444" s="356"/>
      <c r="C444" s="50" t="s">
        <v>99</v>
      </c>
      <c r="D444" s="40" t="s">
        <v>1092</v>
      </c>
      <c r="E444" s="27" t="s">
        <v>165</v>
      </c>
      <c r="F444" s="33">
        <v>0.6</v>
      </c>
      <c r="G444" s="353"/>
      <c r="H444" s="93" t="str">
        <f t="shared" si="309"/>
        <v>味噌</v>
      </c>
      <c r="I444" s="86">
        <f>IFERROR(IF(LEN(D444)=LENB(D444),ROUND(LEFT(D444,2*LEN(D444)-LENB(D444))/$A$1,3),((ROUND(LEFT(D444,2*LEN(D444)-LENB(D444))/$A$1,3))*VLOOKUP(H444,食材表!$A:$B,2,FALSE))),"")</f>
        <v>1.1200000000000002E-2</v>
      </c>
      <c r="J444" s="93" t="str">
        <f t="shared" si="310"/>
        <v>小白菜</v>
      </c>
      <c r="K444" s="86">
        <f>IFERROR(IF(LEN(F444)=LENB(F444),ROUND(LEFT(F444,2*LEN(F444)-LENB(F444))/$A$1,3),((ROUND(LEFT(F444,2*LEN(F444)-LENB(F444))/$A$1,3))*VLOOKUP(J444,食材表!$A:$B,2,FALSE))),"")</f>
        <v>1.2E-2</v>
      </c>
      <c r="L444" s="343"/>
      <c r="M444" s="343"/>
      <c r="N444" s="343"/>
      <c r="O444" s="343"/>
      <c r="P444" s="343"/>
      <c r="Q444" s="343"/>
      <c r="R444" s="343"/>
      <c r="S444" s="343"/>
    </row>
    <row r="445" spans="1:19">
      <c r="A445" s="33" t="str">
        <f>"3"&amp;+$B443</f>
        <v>3味噌拉麵</v>
      </c>
      <c r="B445" s="357"/>
      <c r="C445" s="28" t="s">
        <v>405</v>
      </c>
      <c r="D445" s="8" t="s">
        <v>986</v>
      </c>
      <c r="E445" s="29" t="s">
        <v>964</v>
      </c>
      <c r="F445" s="8">
        <v>0.1</v>
      </c>
      <c r="G445" s="354"/>
      <c r="H445" s="92" t="str">
        <f t="shared" si="309"/>
        <v>玉米罐頭</v>
      </c>
      <c r="I445" s="84">
        <f>IFERROR(IF(LEN(D445)=LENB(D445),ROUND(LEFT(D445,2*LEN(D445)-LENB(D445))/$A$1,3),((ROUND(LEFT(D445,2*LEN(D445)-LENB(D445))/$A$1,3))*VLOOKUP(H445,食材表!$A:$B,2,FALSE))),"")</f>
        <v>1.3600000000000001E-2</v>
      </c>
      <c r="J445" s="92" t="str">
        <f t="shared" si="310"/>
        <v>蔥</v>
      </c>
      <c r="K445" s="85">
        <f>IFERROR(IF(LEN(F445)=LENB(F445),ROUND(LEFT(F445,2*LEN(F445)-LENB(F445))/$A$1,3),((ROUND(LEFT(F445,2*LEN(F445)-LENB(F445))/$A$1,3))*VLOOKUP(J445,食材表!$A:$B,2,FALSE))),"")</f>
        <v>2E-3</v>
      </c>
      <c r="L445" s="344"/>
      <c r="M445" s="344"/>
      <c r="N445" s="344"/>
      <c r="O445" s="344"/>
      <c r="P445" s="344"/>
      <c r="Q445" s="344"/>
      <c r="R445" s="344"/>
      <c r="S445" s="344"/>
    </row>
    <row r="446" spans="1:19">
      <c r="A446" s="33" t="str">
        <f>"1"&amp;+$B446</f>
        <v>1客家粿仔條</v>
      </c>
      <c r="B446" s="371" t="s">
        <v>97</v>
      </c>
      <c r="C446" s="57" t="s">
        <v>314</v>
      </c>
      <c r="D446" s="82">
        <v>3.6</v>
      </c>
      <c r="E446" s="58" t="s">
        <v>47</v>
      </c>
      <c r="F446" s="56">
        <v>0.6</v>
      </c>
      <c r="G446" s="352" t="str">
        <f t="shared" ref="G446" si="312">B446</f>
        <v>客家粿仔條</v>
      </c>
      <c r="H446" s="91" t="str">
        <f t="shared" si="309"/>
        <v>粿仔條</v>
      </c>
      <c r="I446" s="83">
        <f>IFERROR(IF(LEN(D446)=LENB(D446),ROUND(LEFT(D446,2*LEN(D446)-LENB(D446))/$A$1,3),((ROUND(LEFT(D446,2*LEN(D446)-LENB(D446))/$A$1,3))*VLOOKUP(H446,食材表!$A:$B,2,FALSE))),"")</f>
        <v>7.1999999999999995E-2</v>
      </c>
      <c r="J446" s="91" t="str">
        <f t="shared" si="310"/>
        <v>豬肉絲</v>
      </c>
      <c r="K446" s="83">
        <f>IFERROR(IF(LEN(F446)=LENB(F446),ROUND(LEFT(F446,2*LEN(F446)-LENB(F446))/$A$1,3),((ROUND(LEFT(F446,2*LEN(F446)-LENB(F446))/$A$1,3))*VLOOKUP(J446,食材表!$A:$B,2,FALSE))),"")</f>
        <v>1.2E-2</v>
      </c>
      <c r="L446" s="342">
        <f>IFERROR($I446*VLOOKUP($H446,食材表!$A:C,3,FALSE),0)+IFERROR($I447*VLOOKUP($H447,食材表!$A:C,3,FALSE),0)+IFERROR($I448*VLOOKUP($H448,食材表!$A:C,3,FALSE),0)+IFERROR($K446*VLOOKUP($J446,食材表!$A:C,3,FALSE),0)+IFERROR($K447*VLOOKUP($J447,食材表!$A:C,3,FALSE),0)+IFERROR($K448*VLOOKUP($J448,食材表!$A:C,3,FALSE),0)</f>
        <v>2.88</v>
      </c>
      <c r="M446" s="342">
        <f>IFERROR($I446*VLOOKUP($H446,食材表!$A:D,4,FALSE),0)+IFERROR($I447*VLOOKUP($H447,食材表!$A:D,4,FALSE),0)+IFERROR($I448*VLOOKUP($H448,食材表!$A:D,4,FALSE),0)+IFERROR($K446*VLOOKUP($J446,食材表!$A:D,4,FALSE),0)+IFERROR($K447*VLOOKUP($J447,食材表!$A:D,4,FALSE),0)+IFERROR($K448*VLOOKUP($J448,食材表!$A:D,4,FALSE),0)</f>
        <v>0.34285714285714286</v>
      </c>
      <c r="N446" s="342">
        <f>IFERROR($I446*VLOOKUP($H446,食材表!$A:E,5,FALSE),0)+IFERROR($I447*VLOOKUP($H447,食材表!$A:E,5,FALSE),0)+IFERROR($I448*VLOOKUP($H448,食材表!$A:E,5,FALSE),0)+IFERROR($K446*VLOOKUP($J446,食材表!$A:E,5,FALSE),0)+IFERROR($K447*VLOOKUP($J447,食材表!$A:E,5,FALSE),0)+IFERROR($K448*VLOOKUP($J448,食材表!$A:E,5,FALSE),0)</f>
        <v>0</v>
      </c>
      <c r="O446" s="342">
        <f>IFERROR($I446*VLOOKUP($H446,食材表!$A:F,6,FALSE),0)+IFERROR($I447*VLOOKUP($H447,食材表!$A:F,6,FALSE),0)+IFERROR($I448*VLOOKUP($H448,食材表!$A:F,6,FALSE),0)+IFERROR($K446*VLOOKUP($J446,食材表!$A:F,6,FALSE),0)+IFERROR($K447*VLOOKUP($J447,食材表!$A:F,6,FALSE),0)+IFERROR($K448*VLOOKUP($J448,食材表!$A:F,6,FALSE),0)</f>
        <v>0.26</v>
      </c>
      <c r="P446" s="342">
        <f>IFERROR($I446*VLOOKUP($H446,食材表!$A:G,7,FALSE),0)+IFERROR($I447*VLOOKUP($H447,食材表!$A:G,7,FALSE),0)+IFERROR($I448*VLOOKUP($H448,食材表!$A:G,7,FALSE),0)+IFERROR($K446*VLOOKUP($J446,食材表!$A:G,7,FALSE),0)+IFERROR($K447*VLOOKUP($J447,食材表!$A:G,7,FALSE),0)+IFERROR($K448*VLOOKUP($J448,食材表!$A:G,7,FALSE),0)</f>
        <v>0</v>
      </c>
      <c r="Q446" s="342">
        <f>IFERROR($I446*VLOOKUP($H446,食材表!$A:H,8,FALSE),0)+IFERROR($I447*VLOOKUP($H447,食材表!$A:H,8,FALSE),0)+IFERROR($I448*VLOOKUP($H448,食材表!$A:H,8,FALSE),0)+IFERROR($K446*VLOOKUP($J446,食材表!$A:H,8,FALSE),0)+IFERROR($K447*VLOOKUP($J447,食材表!$A:H,8,FALSE),0)+IFERROR($K448*VLOOKUP($J448,食材表!$A:H,8,FALSE),0)</f>
        <v>0</v>
      </c>
      <c r="R446" s="342">
        <f>IFERROR($I446*VLOOKUP($H446,食材表!$A:I,9,FALSE),0)+IFERROR($I447*VLOOKUP($H447,食材表!$A:I,9,FALSE),0)+IFERROR($I448*VLOOKUP($H448,食材表!$A:I,9,FALSE),0)+IFERROR($K446*VLOOKUP($J446,食材表!$A:I,9,FALSE),0)+IFERROR($K447*VLOOKUP($J447,食材表!$A:I,9,FALSE),0)+IFERROR($K448*VLOOKUP($J448,食材表!$A:I,9,FALSE),0)</f>
        <v>0</v>
      </c>
      <c r="S446" s="342">
        <f t="shared" ref="S446" si="313">SUM(L446*70+M446*75+N446*120+O446*25+P446*60+Q446*45+R446*4)</f>
        <v>233.81428571428572</v>
      </c>
    </row>
    <row r="447" spans="1:19">
      <c r="A447" s="33" t="str">
        <f>"2"&amp;+$B446</f>
        <v>2客家粿仔條</v>
      </c>
      <c r="B447" s="372"/>
      <c r="C447" s="50" t="s">
        <v>315</v>
      </c>
      <c r="D447" s="40">
        <v>0.1</v>
      </c>
      <c r="E447" s="27" t="s">
        <v>316</v>
      </c>
      <c r="F447" s="33">
        <v>0.2</v>
      </c>
      <c r="G447" s="353"/>
      <c r="H447" s="93" t="str">
        <f t="shared" si="309"/>
        <v>韭菜</v>
      </c>
      <c r="I447" s="86">
        <f>IFERROR(IF(LEN(D447)=LENB(D447),ROUND(LEFT(D447,2*LEN(D447)-LENB(D447))/$A$1,3),((ROUND(LEFT(D447,2*LEN(D447)-LENB(D447))/$A$1,3))*VLOOKUP(H447,食材表!$A:$B,2,FALSE))),"")</f>
        <v>2E-3</v>
      </c>
      <c r="J447" s="93" t="str">
        <f t="shared" si="310"/>
        <v>豆芽菜</v>
      </c>
      <c r="K447" s="86">
        <f>IFERROR(IF(LEN(F447)=LENB(F447),ROUND(LEFT(F447,2*LEN(F447)-LENB(F447))/$A$1,3),((ROUND(LEFT(F447,2*LEN(F447)-LENB(F447))/$A$1,3))*VLOOKUP(J447,食材表!$A:$B,2,FALSE))),"")</f>
        <v>4.0000000000000001E-3</v>
      </c>
      <c r="L447" s="343"/>
      <c r="M447" s="343"/>
      <c r="N447" s="343"/>
      <c r="O447" s="343"/>
      <c r="P447" s="343"/>
      <c r="Q447" s="343"/>
      <c r="R447" s="343"/>
      <c r="S447" s="343"/>
    </row>
    <row r="448" spans="1:19">
      <c r="A448" s="33" t="str">
        <f>"3"&amp;+$B446</f>
        <v>3客家粿仔條</v>
      </c>
      <c r="B448" s="373"/>
      <c r="C448" s="28" t="s">
        <v>199</v>
      </c>
      <c r="D448" s="8">
        <v>0.1</v>
      </c>
      <c r="E448" s="29" t="s">
        <v>285</v>
      </c>
      <c r="F448" s="8" t="s">
        <v>955</v>
      </c>
      <c r="G448" s="354"/>
      <c r="H448" s="92" t="str">
        <f t="shared" si="309"/>
        <v>乾香菇絲</v>
      </c>
      <c r="I448" s="84">
        <f>IFERROR(IF(LEN(D448)=LENB(D448),ROUND(LEFT(D448,2*LEN(D448)-LENB(D448))/$A$1,3),((ROUND(LEFT(D448,2*LEN(D448)-LENB(D448))/$A$1,3))*VLOOKUP(H448,食材表!$A:$B,2,FALSE))),"")</f>
        <v>2E-3</v>
      </c>
      <c r="J448" s="92" t="str">
        <f t="shared" si="310"/>
        <v>油蔥酥</v>
      </c>
      <c r="K448" s="85">
        <f>IFERROR(IF(LEN(F448)=LENB(F448),ROUND(LEFT(F448,2*LEN(F448)-LENB(F448))/$A$1,3),((ROUND(LEFT(F448,2*LEN(F448)-LENB(F448))/$A$1,3))*VLOOKUP(J448,食材表!$A:$B,2,FALSE))),"")</f>
        <v>6.0000000000000001E-3</v>
      </c>
      <c r="L448" s="344"/>
      <c r="M448" s="344"/>
      <c r="N448" s="344"/>
      <c r="O448" s="344"/>
      <c r="P448" s="344"/>
      <c r="Q448" s="344"/>
      <c r="R448" s="344"/>
      <c r="S448" s="344"/>
    </row>
    <row r="449" spans="1:19">
      <c r="A449" s="33" t="str">
        <f>"1"&amp;+$B449</f>
        <v>1粿仔湯</v>
      </c>
      <c r="B449" s="349" t="s">
        <v>996</v>
      </c>
      <c r="C449" s="55" t="s">
        <v>314</v>
      </c>
      <c r="D449" s="56">
        <v>3.6</v>
      </c>
      <c r="E449" s="58" t="s">
        <v>116</v>
      </c>
      <c r="F449" s="56">
        <v>0.6</v>
      </c>
      <c r="G449" s="352" t="str">
        <f>B449</f>
        <v>粿仔湯</v>
      </c>
      <c r="H449" s="91" t="str">
        <f t="shared" si="309"/>
        <v>粿仔條</v>
      </c>
      <c r="I449" s="83">
        <f>IFERROR(IF(LEN(D449)=LENB(D449),ROUND(LEFT(D449,2*LEN(D449)-LENB(D449))/$A$1,3),((ROUND(LEFT(D449,2*LEN(D449)-LENB(D449))/$A$1,3))*VLOOKUP(H449,食材表!$A:$B,2,FALSE))),"")</f>
        <v>7.1999999999999995E-2</v>
      </c>
      <c r="J449" s="91" t="str">
        <f t="shared" si="310"/>
        <v>豆芽菜</v>
      </c>
      <c r="K449" s="83">
        <f>IFERROR(IF(LEN(F449)=LENB(F449),ROUND(LEFT(F449,2*LEN(F449)-LENB(F449))/$A$1,3),((ROUND(LEFT(F449,2*LEN(F449)-LENB(F449))/$A$1,3))*VLOOKUP(J449,食材表!$A:$B,2,FALSE))),"")</f>
        <v>1.2E-2</v>
      </c>
      <c r="L449" s="342">
        <f>IFERROR($I449*VLOOKUP($H449,食材表!$A:C,3,FALSE),0)+IFERROR($I450*VLOOKUP($H450,食材表!$A:C,3,FALSE),0)+IFERROR($I451*VLOOKUP($H451,食材表!$A:C,3,FALSE),0)+IFERROR($K449*VLOOKUP($J449,食材表!$A:C,3,FALSE),0)+IFERROR($K450*VLOOKUP($J450,食材表!$A:C,3,FALSE),0)+IFERROR($K451*VLOOKUP($J451,食材表!$A:C,3,FALSE),0)</f>
        <v>2.88</v>
      </c>
      <c r="M449" s="342">
        <f>IFERROR($I449*VLOOKUP($H449,食材表!$A:D,4,FALSE),0)+IFERROR($I450*VLOOKUP($H450,食材表!$A:D,4,FALSE),0)+IFERROR($I451*VLOOKUP($H451,食材表!$A:D,4,FALSE),0)+IFERROR($K449*VLOOKUP($J449,食材表!$A:D,4,FALSE),0)+IFERROR($K450*VLOOKUP($J450,食材表!$A:D,4,FALSE),0)+IFERROR($K451*VLOOKUP($J451,食材表!$A:D,4,FALSE),0)</f>
        <v>0.34285714285714286</v>
      </c>
      <c r="N449" s="342">
        <f>IFERROR($I449*VLOOKUP($H449,食材表!$A:E,5,FALSE),0)+IFERROR($I450*VLOOKUP($H450,食材表!$A:E,5,FALSE),0)+IFERROR($I451*VLOOKUP($H451,食材表!$A:E,5,FALSE),0)+IFERROR($K449*VLOOKUP($J449,食材表!$A:E,5,FALSE),0)+IFERROR($K450*VLOOKUP($J450,食材表!$A:E,5,FALSE),0)+IFERROR($K451*VLOOKUP($J451,食材表!$A:E,5,FALSE),0)</f>
        <v>0</v>
      </c>
      <c r="O449" s="342">
        <f>IFERROR($I449*VLOOKUP($H449,食材表!$A:F,6,FALSE),0)+IFERROR($I450*VLOOKUP($H450,食材表!$A:F,6,FALSE),0)+IFERROR($I451*VLOOKUP($H451,食材表!$A:F,6,FALSE),0)+IFERROR($K449*VLOOKUP($J449,食材表!$A:F,6,FALSE),0)+IFERROR($K450*VLOOKUP($J450,食材表!$A:F,6,FALSE),0)+IFERROR($K451*VLOOKUP($J451,食材表!$A:F,6,FALSE),0)</f>
        <v>0.24</v>
      </c>
      <c r="P449" s="342">
        <f>IFERROR($I449*VLOOKUP($H449,食材表!$A:G,7,FALSE),0)+IFERROR($I450*VLOOKUP($H450,食材表!$A:G,7,FALSE),0)+IFERROR($I451*VLOOKUP($H451,食材表!$A:G,7,FALSE),0)+IFERROR($K449*VLOOKUP($J449,食材表!$A:G,7,FALSE),0)+IFERROR($K450*VLOOKUP($J450,食材表!$A:G,7,FALSE),0)+IFERROR($K451*VLOOKUP($J451,食材表!$A:G,7,FALSE),0)</f>
        <v>0</v>
      </c>
      <c r="Q449" s="342">
        <f>IFERROR($I449*VLOOKUP($H449,食材表!$A:H,8,FALSE),0)+IFERROR($I450*VLOOKUP($H450,食材表!$A:H,8,FALSE),0)+IFERROR($I451*VLOOKUP($H451,食材表!$A:H,8,FALSE),0)+IFERROR($K449*VLOOKUP($J449,食材表!$A:H,8,FALSE),0)+IFERROR($K450*VLOOKUP($J450,食材表!$A:H,8,FALSE),0)+IFERROR($K451*VLOOKUP($J451,食材表!$A:H,8,FALSE),0)</f>
        <v>0</v>
      </c>
      <c r="R449" s="342">
        <f>IFERROR($I449*VLOOKUP($H449,食材表!$A:I,9,FALSE),0)+IFERROR($I450*VLOOKUP($H450,食材表!$A:I,9,FALSE),0)+IFERROR($I451*VLOOKUP($H451,食材表!$A:I,9,FALSE),0)+IFERROR($K449*VLOOKUP($J449,食材表!$A:I,9,FALSE),0)+IFERROR($K450*VLOOKUP($J450,食材表!$A:I,9,FALSE),0)+IFERROR($K451*VLOOKUP($J451,食材表!$A:I,9,FALSE),0)</f>
        <v>0</v>
      </c>
      <c r="S449" s="342">
        <f>SUM(L449*70+M449*75+N449*120+O449*25+P449*60+Q449*45+R449*4)</f>
        <v>233.31428571428572</v>
      </c>
    </row>
    <row r="450" spans="1:19">
      <c r="A450" s="33" t="str">
        <f>"2"&amp;+$B449</f>
        <v>2粿仔湯</v>
      </c>
      <c r="B450" s="350"/>
      <c r="C450" s="31" t="s">
        <v>47</v>
      </c>
      <c r="D450" s="33">
        <v>0.6</v>
      </c>
      <c r="E450" s="27" t="s">
        <v>997</v>
      </c>
      <c r="F450" s="33">
        <v>0.1</v>
      </c>
      <c r="G450" s="353"/>
      <c r="H450" s="93" t="str">
        <f t="shared" ref="H450:H451" si="314">C450</f>
        <v>豬肉絲</v>
      </c>
      <c r="I450" s="86">
        <f>IFERROR(IF(LEN(D450)=LENB(D450),ROUND(LEFT(D450,2*LEN(D450)-LENB(D450))/$A$1,3),((ROUND(LEFT(D450,2*LEN(D450)-LENB(D450))/$A$1,3))*VLOOKUP(H450,食材表!$A:$B,2,FALSE))),"")</f>
        <v>1.2E-2</v>
      </c>
      <c r="J450" s="93" t="str">
        <f t="shared" ref="J450:J451" si="315">E450</f>
        <v>芹菜珠</v>
      </c>
      <c r="K450" s="86">
        <f>IFERROR(IF(LEN(F450)=LENB(F450),ROUND(LEFT(F450,2*LEN(F450)-LENB(F450))/$A$1,3),((ROUND(LEFT(F450,2*LEN(F450)-LENB(F450))/$A$1,3))*VLOOKUP(J450,食材表!$A:$B,2,FALSE))),"")</f>
        <v>2E-3</v>
      </c>
      <c r="L450" s="343"/>
      <c r="M450" s="343"/>
      <c r="N450" s="343"/>
      <c r="O450" s="343"/>
      <c r="P450" s="343"/>
      <c r="Q450" s="343"/>
      <c r="R450" s="343"/>
      <c r="S450" s="343"/>
    </row>
    <row r="451" spans="1:19">
      <c r="A451" s="33" t="str">
        <f>"3"&amp;+$B449</f>
        <v>3粿仔湯</v>
      </c>
      <c r="B451" s="351"/>
      <c r="C451" s="28" t="s">
        <v>170</v>
      </c>
      <c r="D451" s="8">
        <v>0.6</v>
      </c>
      <c r="E451" s="29"/>
      <c r="F451" s="8"/>
      <c r="G451" s="354"/>
      <c r="H451" s="92" t="str">
        <f t="shared" si="314"/>
        <v>生香菇</v>
      </c>
      <c r="I451" s="84">
        <f>IFERROR(IF(LEN(D451)=LENB(D451),ROUND(LEFT(D451,2*LEN(D451)-LENB(D451))/$A$1,3),((ROUND(LEFT(D451,2*LEN(D451)-LENB(D451))/$A$1,3))*VLOOKUP(H451,食材表!$A:$B,2,FALSE))),"")</f>
        <v>1.2E-2</v>
      </c>
      <c r="J451" s="92">
        <f t="shared" si="315"/>
        <v>0</v>
      </c>
      <c r="K451" s="85" t="str">
        <f>IFERROR(IF(LEN(F451)=LENB(F451),ROUND(LEFT(F451,2*LEN(F451)-LENB(F451))/$A$1,3),((ROUND(LEFT(F451,2*LEN(F451)-LENB(F451))/$A$1,3))*VLOOKUP(J451,食材表!$A:$B,2,FALSE))),"")</f>
        <v/>
      </c>
      <c r="L451" s="344"/>
      <c r="M451" s="344"/>
      <c r="N451" s="344"/>
      <c r="O451" s="344"/>
      <c r="P451" s="344"/>
      <c r="Q451" s="344"/>
      <c r="R451" s="344"/>
      <c r="S451" s="344"/>
    </row>
    <row r="452" spans="1:19">
      <c r="A452" s="33" t="str">
        <f>"1"&amp;+$B452</f>
        <v>1粿仔條湯</v>
      </c>
      <c r="B452" s="349" t="s">
        <v>1073</v>
      </c>
      <c r="C452" s="60" t="s">
        <v>314</v>
      </c>
      <c r="D452" s="59">
        <v>3</v>
      </c>
      <c r="E452" s="22" t="s">
        <v>52</v>
      </c>
      <c r="F452" s="36">
        <v>0.8</v>
      </c>
      <c r="G452" s="352" t="str">
        <f>B452</f>
        <v>粿仔條湯</v>
      </c>
      <c r="H452" s="91" t="str">
        <f>C452</f>
        <v>粿仔條</v>
      </c>
      <c r="I452" s="83">
        <f>IFERROR(IF(LEN(D452)=LENB(D452),ROUND(LEFT(D452,2*LEN(D452)-LENB(D452))/$A$1,3),((ROUND(LEFT(D452,2*LEN(D452)-LENB(D452))/$A$1,3))*VLOOKUP(H452,食材表!$A:$B,2,FALSE))),"")</f>
        <v>0.06</v>
      </c>
      <c r="J452" s="91" t="str">
        <f>E452</f>
        <v>生香菇</v>
      </c>
      <c r="K452" s="83">
        <f>IFERROR(IF(LEN(F452)=LENB(F452),ROUND(LEFT(F452,2*LEN(F452)-LENB(F452))/$A$1,3),((ROUND(LEFT(F452,2*LEN(F452)-LENB(F452))/$A$1,3))*VLOOKUP(J452,食材表!$A:$B,2,FALSE))),"")</f>
        <v>1.6E-2</v>
      </c>
      <c r="L452" s="342">
        <f>IFERROR($I452*VLOOKUP($H452,食材表!$A:C,3,FALSE),0)+IFERROR($I453*VLOOKUP($H453,食材表!$A:C,3,FALSE),0)+IFERROR($I454*VLOOKUP($H454,食材表!$A:C,3,FALSE),0)+IFERROR($K452*VLOOKUP($J452,食材表!$A:C,3,FALSE),0)+IFERROR($K453*VLOOKUP($J453,食材表!$A:C,3,FALSE),0)+IFERROR($K454*VLOOKUP($J454,食材表!$A:C,3,FALSE),0)</f>
        <v>2.4</v>
      </c>
      <c r="M452" s="342">
        <f>IFERROR($I452*VLOOKUP($H452,食材表!$A:D,4,FALSE),0)+IFERROR($I453*VLOOKUP($H453,食材表!$A:D,4,FALSE),0)+IFERROR($I454*VLOOKUP($H454,食材表!$A:D,4,FALSE),0)+IFERROR($K452*VLOOKUP($J452,食材表!$A:D,4,FALSE),0)+IFERROR($K453*VLOOKUP($J453,食材表!$A:D,4,FALSE),0)+IFERROR($K454*VLOOKUP($J454,食材表!$A:D,4,FALSE),0)</f>
        <v>0.34285714285714286</v>
      </c>
      <c r="N452" s="342">
        <f>IFERROR($I452*VLOOKUP($H452,食材表!$A:E,5,FALSE),0)+IFERROR($I453*VLOOKUP($H453,食材表!$A:E,5,FALSE),0)+IFERROR($I454*VLOOKUP($H454,食材表!$A:E,5,FALSE),0)+IFERROR($K452*VLOOKUP($J452,食材表!$A:E,5,FALSE),0)+IFERROR($K453*VLOOKUP($J453,食材表!$A:E,5,FALSE),0)+IFERROR($K454*VLOOKUP($J454,食材表!$A:E,5,FALSE),0)</f>
        <v>0</v>
      </c>
      <c r="O452" s="342">
        <f>IFERROR($I452*VLOOKUP($H452,食材表!$A:F,6,FALSE),0)+IFERROR($I453*VLOOKUP($H453,食材表!$A:F,6,FALSE),0)+IFERROR($I454*VLOOKUP($H454,食材表!$A:F,6,FALSE),0)+IFERROR($K452*VLOOKUP($J452,食材表!$A:F,6,FALSE),0)+IFERROR($K453*VLOOKUP($J453,食材表!$A:F,6,FALSE),0)+IFERROR($K454*VLOOKUP($J454,食材表!$A:F,6,FALSE),0)</f>
        <v>0.36</v>
      </c>
      <c r="P452" s="342">
        <f>IFERROR($I452*VLOOKUP($H452,食材表!$A:G,7,FALSE),0)+IFERROR($I453*VLOOKUP($H453,食材表!$A:G,7,FALSE),0)+IFERROR($I454*VLOOKUP($H454,食材表!$A:G,7,FALSE),0)+IFERROR($K452*VLOOKUP($J452,食材表!$A:G,7,FALSE),0)+IFERROR($K453*VLOOKUP($J453,食材表!$A:G,7,FALSE),0)+IFERROR($K454*VLOOKUP($J454,食材表!$A:G,7,FALSE),0)</f>
        <v>0</v>
      </c>
      <c r="Q452" s="342">
        <f>IFERROR($I452*VLOOKUP($H452,食材表!$A:H,8,FALSE),0)+IFERROR($I453*VLOOKUP($H453,食材表!$A:H,8,FALSE),0)+IFERROR($I454*VLOOKUP($H454,食材表!$A:H,8,FALSE),0)+IFERROR($K452*VLOOKUP($J452,食材表!$A:H,8,FALSE),0)+IFERROR($K453*VLOOKUP($J453,食材表!$A:H,8,FALSE),0)+IFERROR($K454*VLOOKUP($J454,食材表!$A:H,8,FALSE),0)</f>
        <v>0</v>
      </c>
      <c r="R452" s="342">
        <f>IFERROR($I452*VLOOKUP($H452,食材表!$A:I,9,FALSE),0)+IFERROR($I453*VLOOKUP($H453,食材表!$A:I,9,FALSE),0)+IFERROR($I454*VLOOKUP($H454,食材表!$A:I,9,FALSE),0)+IFERROR($K452*VLOOKUP($J452,食材表!$A:I,9,FALSE),0)+IFERROR($K453*VLOOKUP($J453,食材表!$A:I,9,FALSE),0)+IFERROR($K454*VLOOKUP($J454,食材表!$A:I,9,FALSE),0)</f>
        <v>0</v>
      </c>
      <c r="S452" s="342">
        <f>SUM(L452*70+M452*75+N452*120+O452*25+P452*60+Q452*45+R452*4)</f>
        <v>202.71428571428572</v>
      </c>
    </row>
    <row r="453" spans="1:19">
      <c r="A453" s="33" t="str">
        <f>"2"&amp;+$B452</f>
        <v>2粿仔條湯</v>
      </c>
      <c r="B453" s="350"/>
      <c r="C453" s="22" t="s">
        <v>274</v>
      </c>
      <c r="D453" s="36">
        <v>0.6</v>
      </c>
      <c r="E453" s="38" t="s">
        <v>315</v>
      </c>
      <c r="F453" s="36">
        <v>0.2</v>
      </c>
      <c r="G453" s="353"/>
      <c r="H453" s="93" t="str">
        <f>C453</f>
        <v>肉絲</v>
      </c>
      <c r="I453" s="86">
        <f>IFERROR(IF(LEN(D453)=LENB(D453),ROUND(LEFT(D453,2*LEN(D453)-LENB(D453))/$A$1,3),((ROUND(LEFT(D453,2*LEN(D453)-LENB(D453))/$A$1,3))*VLOOKUP(H453,食材表!$A:$B,2,FALSE))),"")</f>
        <v>1.2E-2</v>
      </c>
      <c r="J453" s="93" t="str">
        <f>E453</f>
        <v>韭菜</v>
      </c>
      <c r="K453" s="86">
        <f>IFERROR(IF(LEN(F453)=LENB(F453),ROUND(LEFT(F453,2*LEN(F453)-LENB(F453))/$A$1,3),((ROUND(LEFT(F453,2*LEN(F453)-LENB(F453))/$A$1,3))*VLOOKUP(J453,食材表!$A:$B,2,FALSE))),"")</f>
        <v>4.0000000000000001E-3</v>
      </c>
      <c r="L453" s="343"/>
      <c r="M453" s="343"/>
      <c r="N453" s="343"/>
      <c r="O453" s="343"/>
      <c r="P453" s="343"/>
      <c r="Q453" s="343"/>
      <c r="R453" s="343"/>
      <c r="S453" s="343"/>
    </row>
    <row r="454" spans="1:19">
      <c r="A454" s="33" t="str">
        <f>"3"&amp;+$B452</f>
        <v>3粿仔條湯</v>
      </c>
      <c r="B454" s="351"/>
      <c r="C454" s="26" t="s">
        <v>316</v>
      </c>
      <c r="D454" s="37">
        <v>0.8</v>
      </c>
      <c r="E454" s="26" t="s">
        <v>285</v>
      </c>
      <c r="F454" s="37" t="s">
        <v>238</v>
      </c>
      <c r="G454" s="354"/>
      <c r="H454" s="92" t="str">
        <f>C454</f>
        <v>豆芽菜</v>
      </c>
      <c r="I454" s="84">
        <f>IFERROR(IF(LEN(D454)=LENB(D454),ROUND(LEFT(D454,2*LEN(D454)-LENB(D454))/$A$1,3),((ROUND(LEFT(D454,2*LEN(D454)-LENB(D454))/$A$1,3))*VLOOKUP(H454,食材表!$A:$B,2,FALSE))),"")</f>
        <v>1.6E-2</v>
      </c>
      <c r="J454" s="92" t="str">
        <f>E454</f>
        <v>油蔥酥</v>
      </c>
      <c r="K454" s="85">
        <f>IFERROR(IF(LEN(F454)=LENB(F454),ROUND(LEFT(F454,2*LEN(F454)-LENB(F454))/$A$1,3),((ROUND(LEFT(F454,2*LEN(F454)-LENB(F454))/$A$1,3))*VLOOKUP(J454,食材表!$A:$B,2,FALSE))),"")</f>
        <v>3.0000000000000001E-3</v>
      </c>
      <c r="L454" s="344"/>
      <c r="M454" s="344"/>
      <c r="N454" s="344"/>
      <c r="O454" s="344"/>
      <c r="P454" s="344"/>
      <c r="Q454" s="344"/>
      <c r="R454" s="344"/>
      <c r="S454" s="344"/>
    </row>
    <row r="455" spans="1:19">
      <c r="A455" s="33" t="str">
        <f>"1"&amp;+$B455</f>
        <v>1擔仔麵</v>
      </c>
      <c r="B455" s="377" t="s">
        <v>1056</v>
      </c>
      <c r="C455" s="60" t="s">
        <v>164</v>
      </c>
      <c r="D455" s="59">
        <v>3</v>
      </c>
      <c r="E455" s="75" t="s">
        <v>315</v>
      </c>
      <c r="F455" s="59">
        <v>0.2</v>
      </c>
      <c r="G455" s="352" t="str">
        <f>B455</f>
        <v>擔仔麵</v>
      </c>
      <c r="H455" s="91" t="str">
        <f>C455</f>
        <v>細烏龍麵</v>
      </c>
      <c r="I455" s="83">
        <f>IFERROR(IF(LEN(D455)=LENB(D455),ROUND(LEFT(D455,2*LEN(D455)-LENB(D455))/$A$1,3),((ROUND(LEFT(D455,2*LEN(D455)-LENB(D455))/$A$1,3))*VLOOKUP(H455,食材表!$A:$B,2,FALSE))),"")</f>
        <v>0.06</v>
      </c>
      <c r="J455" s="91" t="str">
        <f>E455</f>
        <v>韭菜</v>
      </c>
      <c r="K455" s="83">
        <f>IFERROR(IF(LEN(F455)=LENB(F455),ROUND(LEFT(F455,2*LEN(F455)-LENB(F455))/$A$1,3),((ROUND(LEFT(F455,2*LEN(F455)-LENB(F455))/$A$1,3))*VLOOKUP(J455,食材表!$A:$B,2,FALSE))),"")</f>
        <v>4.0000000000000001E-3</v>
      </c>
      <c r="L455" s="342">
        <f>IFERROR($I455*VLOOKUP($H455,食材表!$A:C,3,FALSE),0)+IFERROR($I456*VLOOKUP($H456,食材表!$A:C,3,FALSE),0)+IFERROR($I457*VLOOKUP($H457,食材表!$A:C,3,FALSE),0)+IFERROR($K455*VLOOKUP($J455,食材表!$A:C,3,FALSE),0)+IFERROR($K456*VLOOKUP($J456,食材表!$A:C,3,FALSE),0)+IFERROR($K457*VLOOKUP($J457,食材表!$A:C,3,FALSE),0)</f>
        <v>1</v>
      </c>
      <c r="M455" s="342">
        <f>IFERROR($I455*VLOOKUP($H455,食材表!$A:D,4,FALSE),0)+IFERROR($I456*VLOOKUP($H456,食材表!$A:D,4,FALSE),0)+IFERROR($I457*VLOOKUP($H457,食材表!$A:D,4,FALSE),0)+IFERROR($K455*VLOOKUP($J455,食材表!$A:D,4,FALSE),0)+IFERROR($K456*VLOOKUP($J456,食材表!$A:D,4,FALSE),0)+IFERROR($K457*VLOOKUP($J457,食材表!$A:D,4,FALSE),0)</f>
        <v>0.34285714285714286</v>
      </c>
      <c r="N455" s="342">
        <f>IFERROR($I455*VLOOKUP($H455,食材表!$A:E,5,FALSE),0)+IFERROR($I456*VLOOKUP($H456,食材表!$A:E,5,FALSE),0)+IFERROR($I457*VLOOKUP($H457,食材表!$A:E,5,FALSE),0)+IFERROR($K455*VLOOKUP($J455,食材表!$A:E,5,FALSE),0)+IFERROR($K456*VLOOKUP($J456,食材表!$A:E,5,FALSE),0)+IFERROR($K457*VLOOKUP($J457,食材表!$A:E,5,FALSE),0)</f>
        <v>0</v>
      </c>
      <c r="O455" s="342">
        <f>IFERROR($I455*VLOOKUP($H455,食材表!$A:F,6,FALSE),0)+IFERROR($I456*VLOOKUP($H456,食材表!$A:F,6,FALSE),0)+IFERROR($I457*VLOOKUP($H457,食材表!$A:F,6,FALSE),0)+IFERROR($K455*VLOOKUP($J455,食材表!$A:F,6,FALSE),0)+IFERROR($K456*VLOOKUP($J456,食材表!$A:F,6,FALSE),0)+IFERROR($K457*VLOOKUP($J457,食材表!$A:F,6,FALSE),0)</f>
        <v>0.16</v>
      </c>
      <c r="P455" s="342">
        <f>IFERROR($I455*VLOOKUP($H455,食材表!$A:G,7,FALSE),0)+IFERROR($I456*VLOOKUP($H456,食材表!$A:G,7,FALSE),0)+IFERROR($I457*VLOOKUP($H457,食材表!$A:G,7,FALSE),0)+IFERROR($K455*VLOOKUP($J455,食材表!$A:G,7,FALSE),0)+IFERROR($K456*VLOOKUP($J456,食材表!$A:G,7,FALSE),0)+IFERROR($K457*VLOOKUP($J457,食材表!$A:G,7,FALSE),0)</f>
        <v>0</v>
      </c>
      <c r="Q455" s="342">
        <f>IFERROR($I455*VLOOKUP($H455,食材表!$A:H,8,FALSE),0)+IFERROR($I456*VLOOKUP($H456,食材表!$A:H,8,FALSE),0)+IFERROR($I457*VLOOKUP($H457,食材表!$A:H,8,FALSE),0)+IFERROR($K455*VLOOKUP($J455,食材表!$A:H,8,FALSE),0)+IFERROR($K456*VLOOKUP($J456,食材表!$A:H,8,FALSE),0)+IFERROR($K457*VLOOKUP($J457,食材表!$A:H,8,FALSE),0)</f>
        <v>0</v>
      </c>
      <c r="R455" s="342">
        <f>IFERROR($I455*VLOOKUP($H455,食材表!$A:I,9,FALSE),0)+IFERROR($I456*VLOOKUP($H456,食材表!$A:I,9,FALSE),0)+IFERROR($I457*VLOOKUP($H457,食材表!$A:I,9,FALSE),0)+IFERROR($K455*VLOOKUP($J455,食材表!$A:I,9,FALSE),0)+IFERROR($K456*VLOOKUP($J456,食材表!$A:I,9,FALSE),0)+IFERROR($K457*VLOOKUP($J457,食材表!$A:I,9,FALSE),0)</f>
        <v>0</v>
      </c>
      <c r="S455" s="342">
        <f>SUM(L455*70+M455*75+N455*120+O455*25+P455*60+Q455*45+R455*4)</f>
        <v>99.714285714285722</v>
      </c>
    </row>
    <row r="456" spans="1:19">
      <c r="A456" s="33" t="str">
        <f>"2"&amp;+$B455</f>
        <v>2擔仔麵</v>
      </c>
      <c r="B456" s="378"/>
      <c r="C456" s="22" t="s">
        <v>138</v>
      </c>
      <c r="D456" s="36">
        <v>0.6</v>
      </c>
      <c r="E456" s="23"/>
      <c r="F456" s="36"/>
      <c r="G456" s="353"/>
      <c r="H456" s="93" t="str">
        <f t="shared" ref="H456:H457" si="316">C456</f>
        <v>豬絞肉</v>
      </c>
      <c r="I456" s="86">
        <f>IFERROR(IF(LEN(D456)=LENB(D456),ROUND(LEFT(D456,2*LEN(D456)-LENB(D456))/$A$1,3),((ROUND(LEFT(D456,2*LEN(D456)-LENB(D456))/$A$1,3))*VLOOKUP(H456,食材表!$A:$B,2,FALSE))),"")</f>
        <v>1.2E-2</v>
      </c>
      <c r="J456" s="93">
        <f t="shared" ref="J456:J457" si="317">E456</f>
        <v>0</v>
      </c>
      <c r="K456" s="86" t="str">
        <f>IFERROR(IF(LEN(F456)=LENB(F456),ROUND(LEFT(F456,2*LEN(F456)-LENB(F456))/$A$1,3),((ROUND(LEFT(F456,2*LEN(F456)-LENB(F456))/$A$1,3))*VLOOKUP(J456,食材表!$A:$B,2,FALSE))),"")</f>
        <v/>
      </c>
      <c r="L456" s="343"/>
      <c r="M456" s="343"/>
      <c r="N456" s="343"/>
      <c r="O456" s="343"/>
      <c r="P456" s="343"/>
      <c r="Q456" s="343"/>
      <c r="R456" s="343"/>
      <c r="S456" s="343"/>
    </row>
    <row r="457" spans="1:19">
      <c r="A457" s="33" t="str">
        <f>"3"&amp;+$B455</f>
        <v>3擔仔麵</v>
      </c>
      <c r="B457" s="379"/>
      <c r="C457" s="24" t="s">
        <v>316</v>
      </c>
      <c r="D457" s="37">
        <v>0.6</v>
      </c>
      <c r="E457" s="25"/>
      <c r="F457" s="37"/>
      <c r="G457" s="354"/>
      <c r="H457" s="92" t="str">
        <f t="shared" si="316"/>
        <v>豆芽菜</v>
      </c>
      <c r="I457" s="84">
        <f>IFERROR(IF(LEN(D457)=LENB(D457),ROUND(LEFT(D457,2*LEN(D457)-LENB(D457))/$A$1,3),((ROUND(LEFT(D457,2*LEN(D457)-LENB(D457))/$A$1,3))*VLOOKUP(H457,食材表!$A:$B,2,FALSE))),"")</f>
        <v>1.2E-2</v>
      </c>
      <c r="J457" s="92">
        <f t="shared" si="317"/>
        <v>0</v>
      </c>
      <c r="K457" s="85" t="str">
        <f>IFERROR(IF(LEN(F457)=LENB(F457),ROUND(LEFT(F457,2*LEN(F457)-LENB(F457))/$A$1,3),((ROUND(LEFT(F457,2*LEN(F457)-LENB(F457))/$A$1,3))*VLOOKUP(J457,食材表!$A:$B,2,FALSE))),"")</f>
        <v/>
      </c>
      <c r="L457" s="344"/>
      <c r="M457" s="344"/>
      <c r="N457" s="344"/>
      <c r="O457" s="344"/>
      <c r="P457" s="344"/>
      <c r="Q457" s="344"/>
      <c r="R457" s="344"/>
      <c r="S457" s="344"/>
    </row>
    <row r="458" spans="1:19">
      <c r="A458" s="33" t="str">
        <f>"1"&amp;+$B458</f>
        <v>1什錦麵</v>
      </c>
      <c r="B458" s="350" t="s">
        <v>283</v>
      </c>
      <c r="C458" s="60" t="s">
        <v>284</v>
      </c>
      <c r="D458" s="59">
        <v>3</v>
      </c>
      <c r="E458" s="75" t="s">
        <v>274</v>
      </c>
      <c r="F458" s="59">
        <v>0.6</v>
      </c>
      <c r="G458" s="352" t="str">
        <f>B458</f>
        <v>什錦麵</v>
      </c>
      <c r="H458" s="91" t="str">
        <f>C458</f>
        <v>細烏龍麵</v>
      </c>
      <c r="I458" s="83">
        <f>IFERROR(IF(LEN(D458)=LENB(D458),ROUND(LEFT(D458,2*LEN(D458)-LENB(D458))/$A$1,3),((ROUND(LEFT(D458,2*LEN(D458)-LENB(D458))/$A$1,3))*VLOOKUP(H458,食材表!$A:$B,2,FALSE))),"")</f>
        <v>0.06</v>
      </c>
      <c r="J458" s="91" t="str">
        <f>E458</f>
        <v>肉絲</v>
      </c>
      <c r="K458" s="83">
        <f>IFERROR(IF(LEN(F458)=LENB(F458),ROUND(LEFT(F458,2*LEN(F458)-LENB(F458))/$A$1,3),((ROUND(LEFT(F458,2*LEN(F458)-LENB(F458))/$A$1,3))*VLOOKUP(J458,食材表!$A:$B,2,FALSE))),"")</f>
        <v>1.2E-2</v>
      </c>
      <c r="L458" s="342">
        <f>IFERROR($I458*VLOOKUP($H458,食材表!$A:C,3,FALSE),0)+IFERROR($I459*VLOOKUP($H459,食材表!$A:C,3,FALSE),0)+IFERROR($I460*VLOOKUP($H460,食材表!$A:C,3,FALSE),0)+IFERROR($K458*VLOOKUP($J458,食材表!$A:C,3,FALSE),0)+IFERROR($K459*VLOOKUP($J459,食材表!$A:C,3,FALSE),0)+IFERROR($K460*VLOOKUP($J460,食材表!$A:C,3,FALSE),0)</f>
        <v>1</v>
      </c>
      <c r="M458" s="342">
        <f>IFERROR($I458*VLOOKUP($H458,食材表!$A:D,4,FALSE),0)+IFERROR($I459*VLOOKUP($H459,食材表!$A:D,4,FALSE),0)+IFERROR($I460*VLOOKUP($H460,食材表!$A:D,4,FALSE),0)+IFERROR($K458*VLOOKUP($J458,食材表!$A:D,4,FALSE),0)+IFERROR($K459*VLOOKUP($J459,食材表!$A:D,4,FALSE),0)+IFERROR($K460*VLOOKUP($J460,食材表!$A:D,4,FALSE),0)</f>
        <v>0.34285714285714286</v>
      </c>
      <c r="N458" s="342">
        <f>IFERROR($I458*VLOOKUP($H458,食材表!$A:E,5,FALSE),0)+IFERROR($I459*VLOOKUP($H459,食材表!$A:E,5,FALSE),0)+IFERROR($I460*VLOOKUP($H460,食材表!$A:E,5,FALSE),0)+IFERROR($K458*VLOOKUP($J458,食材表!$A:E,5,FALSE),0)+IFERROR($K459*VLOOKUP($J459,食材表!$A:E,5,FALSE),0)+IFERROR($K460*VLOOKUP($J460,食材表!$A:E,5,FALSE),0)</f>
        <v>0</v>
      </c>
      <c r="O458" s="342">
        <f>IFERROR($I458*VLOOKUP($H458,食材表!$A:F,6,FALSE),0)+IFERROR($I459*VLOOKUP($H459,食材表!$A:F,6,FALSE),0)+IFERROR($I460*VLOOKUP($H460,食材表!$A:F,6,FALSE),0)+IFERROR($K458*VLOOKUP($J458,食材表!$A:F,6,FALSE),0)+IFERROR($K459*VLOOKUP($J459,食材表!$A:F,6,FALSE),0)+IFERROR($K460*VLOOKUP($J460,食材表!$A:F,6,FALSE),0)</f>
        <v>0.39999999999999997</v>
      </c>
      <c r="P458" s="342">
        <f>IFERROR($I458*VLOOKUP($H458,食材表!$A:G,7,FALSE),0)+IFERROR($I459*VLOOKUP($H459,食材表!$A:G,7,FALSE),0)+IFERROR($I460*VLOOKUP($H460,食材表!$A:G,7,FALSE),0)+IFERROR($K458*VLOOKUP($J458,食材表!$A:G,7,FALSE),0)+IFERROR($K459*VLOOKUP($J459,食材表!$A:G,7,FALSE),0)+IFERROR($K460*VLOOKUP($J460,食材表!$A:G,7,FALSE),0)</f>
        <v>0</v>
      </c>
      <c r="Q458" s="342">
        <f>IFERROR($I458*VLOOKUP($H458,食材表!$A:H,8,FALSE),0)+IFERROR($I459*VLOOKUP($H459,食材表!$A:H,8,FALSE),0)+IFERROR($I460*VLOOKUP($H460,食材表!$A:H,8,FALSE),0)+IFERROR($K458*VLOOKUP($J458,食材表!$A:H,8,FALSE),0)+IFERROR($K459*VLOOKUP($J459,食材表!$A:H,8,FALSE),0)+IFERROR($K460*VLOOKUP($J460,食材表!$A:H,8,FALSE),0)</f>
        <v>0</v>
      </c>
      <c r="R458" s="342">
        <f>IFERROR($I458*VLOOKUP($H458,食材表!$A:I,9,FALSE),0)+IFERROR($I459*VLOOKUP($H459,食材表!$A:I,9,FALSE),0)+IFERROR($I460*VLOOKUP($H460,食材表!$A:I,9,FALSE),0)+IFERROR($K458*VLOOKUP($J458,食材表!$A:I,9,FALSE),0)+IFERROR($K459*VLOOKUP($J459,食材表!$A:I,9,FALSE),0)+IFERROR($K460*VLOOKUP($J460,食材表!$A:I,9,FALSE),0)</f>
        <v>0</v>
      </c>
      <c r="S458" s="342">
        <f>SUM(L458*70+M458*75+N458*120+O458*25+P458*60+Q458*45+R458*4)</f>
        <v>105.71428571428572</v>
      </c>
    </row>
    <row r="459" spans="1:19">
      <c r="A459" s="33" t="str">
        <f>"2"&amp;+$B458</f>
        <v>2什錦麵</v>
      </c>
      <c r="B459" s="350"/>
      <c r="C459" s="22" t="s">
        <v>165</v>
      </c>
      <c r="D459" s="36">
        <v>1</v>
      </c>
      <c r="E459" s="23" t="s">
        <v>285</v>
      </c>
      <c r="F459" s="41" t="s">
        <v>238</v>
      </c>
      <c r="G459" s="353"/>
      <c r="H459" s="93" t="str">
        <f t="shared" ref="H459:H460" si="318">C459</f>
        <v>小白菜</v>
      </c>
      <c r="I459" s="86">
        <f>IFERROR(IF(LEN(D459)=LENB(D459),ROUND(LEFT(D459,2*LEN(D459)-LENB(D459))/$A$1,3),((ROUND(LEFT(D459,2*LEN(D459)-LENB(D459))/$A$1,3))*VLOOKUP(H459,食材表!$A:$B,2,FALSE))),"")</f>
        <v>0.02</v>
      </c>
      <c r="J459" s="93" t="str">
        <f t="shared" ref="J459:J460" si="319">E459</f>
        <v>油蔥酥</v>
      </c>
      <c r="K459" s="86">
        <f>IFERROR(IF(LEN(F459)=LENB(F459),ROUND(LEFT(F459,2*LEN(F459)-LENB(F459))/$A$1,3),((ROUND(LEFT(F459,2*LEN(F459)-LENB(F459))/$A$1,3))*VLOOKUP(J459,食材表!$A:$B,2,FALSE))),"")</f>
        <v>3.0000000000000001E-3</v>
      </c>
      <c r="L459" s="343"/>
      <c r="M459" s="343"/>
      <c r="N459" s="343"/>
      <c r="O459" s="343"/>
      <c r="P459" s="343"/>
      <c r="Q459" s="343"/>
      <c r="R459" s="343"/>
      <c r="S459" s="343"/>
    </row>
    <row r="460" spans="1:19">
      <c r="A460" s="33" t="str">
        <f>"3"&amp;+$B458</f>
        <v>3什錦麵</v>
      </c>
      <c r="B460" s="351"/>
      <c r="C460" s="26" t="s">
        <v>83</v>
      </c>
      <c r="D460" s="37">
        <v>0.8</v>
      </c>
      <c r="E460" s="25" t="s">
        <v>75</v>
      </c>
      <c r="F460" s="37">
        <v>0.2</v>
      </c>
      <c r="G460" s="354"/>
      <c r="H460" s="92" t="str">
        <f t="shared" si="318"/>
        <v>木耳</v>
      </c>
      <c r="I460" s="84">
        <f>IFERROR(IF(LEN(D460)=LENB(D460),ROUND(LEFT(D460,2*LEN(D460)-LENB(D460))/$A$1,3),((ROUND(LEFT(D460,2*LEN(D460)-LENB(D460))/$A$1,3))*VLOOKUP(H460,食材表!$A:$B,2,FALSE))),"")</f>
        <v>1.6E-2</v>
      </c>
      <c r="J460" s="92" t="str">
        <f t="shared" si="319"/>
        <v>紅蘿蔔</v>
      </c>
      <c r="K460" s="85">
        <f>IFERROR(IF(LEN(F460)=LENB(F460),ROUND(LEFT(F460,2*LEN(F460)-LENB(F460))/$A$1,3),((ROUND(LEFT(F460,2*LEN(F460)-LENB(F460))/$A$1,3))*VLOOKUP(J460,食材表!$A:$B,2,FALSE))),"")</f>
        <v>4.0000000000000001E-3</v>
      </c>
      <c r="L460" s="344"/>
      <c r="M460" s="344"/>
      <c r="N460" s="344"/>
      <c r="O460" s="344"/>
      <c r="P460" s="344"/>
      <c r="Q460" s="344"/>
      <c r="R460" s="344"/>
      <c r="S460" s="344"/>
    </row>
    <row r="461" spans="1:19">
      <c r="A461" s="33" t="str">
        <f>"1"&amp;+$B461</f>
        <v>1白菜冬粉煲</v>
      </c>
      <c r="B461" s="349" t="s">
        <v>1099</v>
      </c>
      <c r="C461" s="60" t="s">
        <v>1100</v>
      </c>
      <c r="D461" s="59">
        <v>0.6</v>
      </c>
      <c r="E461" s="75" t="s">
        <v>200</v>
      </c>
      <c r="F461" s="59">
        <v>0.8</v>
      </c>
      <c r="G461" s="352" t="str">
        <f t="shared" ref="G461" si="320">B461</f>
        <v>白菜冬粉煲</v>
      </c>
      <c r="H461" s="91" t="str">
        <f t="shared" ref="H461:H467" si="321">C461</f>
        <v>捲心白菜</v>
      </c>
      <c r="I461" s="83">
        <f>IFERROR(IF(LEN(D461)=LENB(D461),ROUND(LEFT(D461,2*LEN(D461)-LENB(D461))/$A$1,3),((ROUND(LEFT(D461,2*LEN(D461)-LENB(D461))/$A$1,3))*VLOOKUP(H461,食材表!$A:$B,2,FALSE))),"")</f>
        <v>1.2E-2</v>
      </c>
      <c r="J461" s="91" t="str">
        <f t="shared" ref="J461:J467" si="322">E461</f>
        <v>冬粉</v>
      </c>
      <c r="K461" s="83">
        <f>IFERROR(IF(LEN(F461)=LENB(F461),ROUND(LEFT(F461,2*LEN(F461)-LENB(F461))/$A$1,3),((ROUND(LEFT(F461,2*LEN(F461)-LENB(F461))/$A$1,3))*VLOOKUP(J461,食材表!$A:$B,2,FALSE))),"")</f>
        <v>1.6E-2</v>
      </c>
      <c r="L461" s="342">
        <f>IFERROR($I461*VLOOKUP($H461,食材表!$A:C,3,FALSE),0)+IFERROR($I462*VLOOKUP($H462,食材表!$A:C,3,FALSE),0)+IFERROR($I463*VLOOKUP($H463,食材表!$A:C,3,FALSE),0)+IFERROR($K461*VLOOKUP($J461,食材表!$A:C,3,FALSE),0)+IFERROR($K462*VLOOKUP($J462,食材表!$A:C,3,FALSE),0)+IFERROR($K463*VLOOKUP($J463,食材表!$A:C,3,FALSE),0)</f>
        <v>1.0666666666666669</v>
      </c>
      <c r="M461" s="342">
        <f>IFERROR($I461*VLOOKUP($H461,食材表!$A:D,4,FALSE),0)+IFERROR($I462*VLOOKUP($H462,食材表!$A:D,4,FALSE),0)+IFERROR($I463*VLOOKUP($H463,食材表!$A:D,4,FALSE),0)+IFERROR($K461*VLOOKUP($J461,食材表!$A:D,4,FALSE),0)+IFERROR($K462*VLOOKUP($J462,食材表!$A:D,4,FALSE),0)+IFERROR($K463*VLOOKUP($J463,食材表!$A:D,4,FALSE),0)</f>
        <v>0.18461538461538463</v>
      </c>
      <c r="N461" s="342">
        <f>IFERROR($I461*VLOOKUP($H461,食材表!$A:E,5,FALSE),0)+IFERROR($I462*VLOOKUP($H462,食材表!$A:E,5,FALSE),0)+IFERROR($I463*VLOOKUP($H463,食材表!$A:E,5,FALSE),0)+IFERROR($K461*VLOOKUP($J461,食材表!$A:E,5,FALSE),0)+IFERROR($K462*VLOOKUP($J462,食材表!$A:E,5,FALSE),0)+IFERROR($K463*VLOOKUP($J463,食材表!$A:E,5,FALSE),0)</f>
        <v>0</v>
      </c>
      <c r="O461" s="342">
        <f>IFERROR($I461*VLOOKUP($H461,食材表!$A:F,6,FALSE),0)+IFERROR($I462*VLOOKUP($H462,食材表!$A:F,6,FALSE),0)+IFERROR($I463*VLOOKUP($H463,食材表!$A:F,6,FALSE),0)+IFERROR($K461*VLOOKUP($J461,食材表!$A:F,6,FALSE),0)+IFERROR($K462*VLOOKUP($J462,食材表!$A:F,6,FALSE),0)+IFERROR($K463*VLOOKUP($J463,食材表!$A:F,6,FALSE),0)</f>
        <v>0.04</v>
      </c>
      <c r="P461" s="342">
        <f>IFERROR($I461*VLOOKUP($H461,食材表!$A:G,7,FALSE),0)+IFERROR($I462*VLOOKUP($H462,食材表!$A:G,7,FALSE),0)+IFERROR($I463*VLOOKUP($H463,食材表!$A:G,7,FALSE),0)+IFERROR($K461*VLOOKUP($J461,食材表!$A:G,7,FALSE),0)+IFERROR($K462*VLOOKUP($J462,食材表!$A:G,7,FALSE),0)+IFERROR($K463*VLOOKUP($J463,食材表!$A:G,7,FALSE),0)</f>
        <v>0</v>
      </c>
      <c r="Q461" s="342">
        <f>IFERROR($I461*VLOOKUP($H461,食材表!$A:H,8,FALSE),0)+IFERROR($I462*VLOOKUP($H462,食材表!$A:H,8,FALSE),0)+IFERROR($I463*VLOOKUP($H463,食材表!$A:H,8,FALSE),0)+IFERROR($K461*VLOOKUP($J461,食材表!$A:H,8,FALSE),0)+IFERROR($K462*VLOOKUP($J462,食材表!$A:H,8,FALSE),0)+IFERROR($K463*VLOOKUP($J463,食材表!$A:H,8,FALSE),0)</f>
        <v>0</v>
      </c>
      <c r="R461" s="342">
        <f>IFERROR($I461*VLOOKUP($H461,食材表!$A:I,9,FALSE),0)+IFERROR($I462*VLOOKUP($H462,食材表!$A:I,9,FALSE),0)+IFERROR($I463*VLOOKUP($H463,食材表!$A:I,9,FALSE),0)+IFERROR($K461*VLOOKUP($J461,食材表!$A:I,9,FALSE),0)+IFERROR($K462*VLOOKUP($J462,食材表!$A:I,9,FALSE),0)+IFERROR($K463*VLOOKUP($J463,食材表!$A:I,9,FALSE),0)</f>
        <v>0</v>
      </c>
      <c r="S461" s="342">
        <f t="shared" ref="S461" si="323">SUM(L461*70+M461*75+N461*120+O461*25+P461*60+Q461*45+R461*4)</f>
        <v>89.512820512820525</v>
      </c>
    </row>
    <row r="462" spans="1:19">
      <c r="A462" s="33" t="str">
        <f>"2"&amp;+$B461</f>
        <v>2白菜冬粉煲</v>
      </c>
      <c r="B462" s="350"/>
      <c r="C462" s="22" t="s">
        <v>48</v>
      </c>
      <c r="D462" s="36">
        <v>0.6</v>
      </c>
      <c r="E462" s="23" t="s">
        <v>198</v>
      </c>
      <c r="F462" s="36">
        <v>0.1</v>
      </c>
      <c r="G462" s="353"/>
      <c r="H462" s="93" t="str">
        <f t="shared" si="321"/>
        <v>雞蛋</v>
      </c>
      <c r="I462" s="86">
        <f>IFERROR(IF(LEN(D462)=LENB(D462),ROUND(LEFT(D462,2*LEN(D462)-LENB(D462))/$A$1,3),((ROUND(LEFT(D462,2*LEN(D462)-LENB(D462))/$A$1,3))*VLOOKUP(H462,食材表!$A:$B,2,FALSE))),"")</f>
        <v>1.2E-2</v>
      </c>
      <c r="J462" s="93" t="str">
        <f t="shared" si="322"/>
        <v>蝦皮</v>
      </c>
      <c r="K462" s="86">
        <f>IFERROR(IF(LEN(F462)=LENB(F462),ROUND(LEFT(F462,2*LEN(F462)-LENB(F462))/$A$1,3),((ROUND(LEFT(F462,2*LEN(F462)-LENB(F462))/$A$1,3))*VLOOKUP(J462,食材表!$A:$B,2,FALSE))),"")</f>
        <v>2E-3</v>
      </c>
      <c r="L462" s="343"/>
      <c r="M462" s="343"/>
      <c r="N462" s="343"/>
      <c r="O462" s="343"/>
      <c r="P462" s="343"/>
      <c r="Q462" s="343"/>
      <c r="R462" s="343"/>
      <c r="S462" s="343"/>
    </row>
    <row r="463" spans="1:19">
      <c r="A463" s="33" t="str">
        <f>"3"&amp;+$B461</f>
        <v>3白菜冬粉煲</v>
      </c>
      <c r="B463" s="351"/>
      <c r="C463" s="26" t="s">
        <v>83</v>
      </c>
      <c r="D463" s="37">
        <v>0.2</v>
      </c>
      <c r="E463" s="159" t="s">
        <v>964</v>
      </c>
      <c r="F463" s="37">
        <v>0.1</v>
      </c>
      <c r="G463" s="354"/>
      <c r="H463" s="92" t="str">
        <f t="shared" si="321"/>
        <v>木耳</v>
      </c>
      <c r="I463" s="84">
        <f>IFERROR(IF(LEN(D463)=LENB(D463),ROUND(LEFT(D463,2*LEN(D463)-LENB(D463))/$A$1,3),((ROUND(LEFT(D463,2*LEN(D463)-LENB(D463))/$A$1,3))*VLOOKUP(H463,食材表!$A:$B,2,FALSE))),"")</f>
        <v>4.0000000000000001E-3</v>
      </c>
      <c r="J463" s="92" t="str">
        <f t="shared" si="322"/>
        <v>蔥</v>
      </c>
      <c r="K463" s="85">
        <f>IFERROR(IF(LEN(F463)=LENB(F463),ROUND(LEFT(F463,2*LEN(F463)-LENB(F463))/$A$1,3),((ROUND(LEFT(F463,2*LEN(F463)-LENB(F463))/$A$1,3))*VLOOKUP(J463,食材表!$A:$B,2,FALSE))),"")</f>
        <v>2E-3</v>
      </c>
      <c r="L463" s="344"/>
      <c r="M463" s="344"/>
      <c r="N463" s="344"/>
      <c r="O463" s="344"/>
      <c r="P463" s="344"/>
      <c r="Q463" s="344"/>
      <c r="R463" s="344"/>
      <c r="S463" s="344"/>
    </row>
    <row r="464" spans="1:19">
      <c r="A464" s="33" t="str">
        <f>"1"&amp;+$B464</f>
        <v>1茄汁義大利麵</v>
      </c>
      <c r="B464" s="362" t="s">
        <v>209</v>
      </c>
      <c r="C464" s="55" t="s">
        <v>185</v>
      </c>
      <c r="D464" s="56" t="s">
        <v>1102</v>
      </c>
      <c r="E464" s="58" t="s">
        <v>61</v>
      </c>
      <c r="F464" s="56">
        <v>0.5</v>
      </c>
      <c r="G464" s="352" t="str">
        <f t="shared" ref="G464" si="324">B464</f>
        <v>茄汁義大利麵</v>
      </c>
      <c r="H464" s="91" t="str">
        <f t="shared" si="321"/>
        <v>義大利麵</v>
      </c>
      <c r="I464" s="83" t="str">
        <f>IFERROR(IF(LEN(D464)=LENB(D464),ROUND(LEFT(D464,2*LEN(D464)-LENB(D464))/$A$1,3),((ROUND(LEFT(D464,2*LEN(D464)-LENB(D464))/$A$1,3))*VLOOKUP(H464,食材表!$A:$B,2,FALSE))),"")</f>
        <v/>
      </c>
      <c r="J464" s="91" t="str">
        <f t="shared" si="322"/>
        <v>洋蔥</v>
      </c>
      <c r="K464" s="83">
        <f>IFERROR(IF(LEN(F464)=LENB(F464),ROUND(LEFT(F464,2*LEN(F464)-LENB(F464))/$A$1,3),((ROUND(LEFT(F464,2*LEN(F464)-LENB(F464))/$A$1,3))*VLOOKUP(J464,食材表!$A:$B,2,FALSE))),"")</f>
        <v>0.01</v>
      </c>
      <c r="L464" s="342">
        <f>IFERROR($I464*VLOOKUP($H464,食材表!$A:C,3,FALSE),0)+IFERROR($I465*VLOOKUP($H465,食材表!$A:C,3,FALSE),0)+IFERROR($I466*VLOOKUP($H466,食材表!$A:C,3,FALSE),0)+IFERROR($K464*VLOOKUP($J464,食材表!$A:C,3,FALSE),0)+IFERROR($K465*VLOOKUP($J465,食材表!$A:C,3,FALSE),0)+IFERROR($K466*VLOOKUP($J466,食材表!$A:C,3,FALSE),0)</f>
        <v>0</v>
      </c>
      <c r="M464" s="342">
        <f>IFERROR($I464*VLOOKUP($H464,食材表!$A:D,4,FALSE),0)+IFERROR($I465*VLOOKUP($H465,食材表!$A:D,4,FALSE),0)+IFERROR($I466*VLOOKUP($H466,食材表!$A:D,4,FALSE),0)+IFERROR($K464*VLOOKUP($J464,食材表!$A:D,4,FALSE),0)+IFERROR($K465*VLOOKUP($J465,食材表!$A:D,4,FALSE),0)+IFERROR($K466*VLOOKUP($J466,食材表!$A:D,4,FALSE),0)</f>
        <v>0.34285714285714286</v>
      </c>
      <c r="N464" s="342">
        <f>IFERROR($I464*VLOOKUP($H464,食材表!$A:E,5,FALSE),0)+IFERROR($I465*VLOOKUP($H465,食材表!$A:E,5,FALSE),0)+IFERROR($I466*VLOOKUP($H466,食材表!$A:E,5,FALSE),0)+IFERROR($K464*VLOOKUP($J464,食材表!$A:E,5,FALSE),0)+IFERROR($K465*VLOOKUP($J465,食材表!$A:E,5,FALSE),0)+IFERROR($K466*VLOOKUP($J466,食材表!$A:E,5,FALSE),0)</f>
        <v>0</v>
      </c>
      <c r="O464" s="342">
        <f>IFERROR($I464*VLOOKUP($H464,食材表!$A:F,6,FALSE),0)+IFERROR($I465*VLOOKUP($H465,食材表!$A:F,6,FALSE),0)+IFERROR($I466*VLOOKUP($H466,食材表!$A:F,6,FALSE),0)+IFERROR($K464*VLOOKUP($J464,食材表!$A:F,6,FALSE),0)+IFERROR($K465*VLOOKUP($J465,食材表!$A:F,6,FALSE),0)+IFERROR($K466*VLOOKUP($J466,食材表!$A:F,6,FALSE),0)</f>
        <v>0.28000000000000003</v>
      </c>
      <c r="P464" s="342">
        <f>IFERROR($I464*VLOOKUP($H464,食材表!$A:G,7,FALSE),0)+IFERROR($I465*VLOOKUP($H465,食材表!$A:G,7,FALSE),0)+IFERROR($I466*VLOOKUP($H466,食材表!$A:G,7,FALSE),0)+IFERROR($K464*VLOOKUP($J464,食材表!$A:G,7,FALSE),0)+IFERROR($K465*VLOOKUP($J465,食材表!$A:G,7,FALSE),0)+IFERROR($K466*VLOOKUP($J466,食材表!$A:G,7,FALSE),0)</f>
        <v>0</v>
      </c>
      <c r="Q464" s="342">
        <f>IFERROR($I464*VLOOKUP($H464,食材表!$A:H,8,FALSE),0)+IFERROR($I465*VLOOKUP($H465,食材表!$A:H,8,FALSE),0)+IFERROR($I466*VLOOKUP($H466,食材表!$A:H,8,FALSE),0)+IFERROR($K464*VLOOKUP($J464,食材表!$A:H,8,FALSE),0)+IFERROR($K465*VLOOKUP($J465,食材表!$A:H,8,FALSE),0)+IFERROR($K466*VLOOKUP($J466,食材表!$A:H,8,FALSE),0)</f>
        <v>0</v>
      </c>
      <c r="R464" s="342">
        <f>IFERROR($I464*VLOOKUP($H464,食材表!$A:I,9,FALSE),0)+IFERROR($I465*VLOOKUP($H465,食材表!$A:I,9,FALSE),0)+IFERROR($I466*VLOOKUP($H466,食材表!$A:I,9,FALSE),0)+IFERROR($K464*VLOOKUP($J464,食材表!$A:I,9,FALSE),0)+IFERROR($K465*VLOOKUP($J465,食材表!$A:I,9,FALSE),0)+IFERROR($K466*VLOOKUP($J466,食材表!$A:I,9,FALSE),0)</f>
        <v>0</v>
      </c>
      <c r="S464" s="342">
        <f t="shared" ref="S464" si="325">SUM(L464*70+M464*75+N464*120+O464*25+P464*60+Q464*45+R464*4)</f>
        <v>32.714285714285715</v>
      </c>
    </row>
    <row r="465" spans="1:19">
      <c r="A465" s="33" t="str">
        <f>"2"&amp;+$B464</f>
        <v>2茄汁義大利麵</v>
      </c>
      <c r="B465" s="363"/>
      <c r="C465" s="31" t="s">
        <v>66</v>
      </c>
      <c r="D465" s="33">
        <v>0.6</v>
      </c>
      <c r="E465" s="27" t="s">
        <v>111</v>
      </c>
      <c r="F465" s="33">
        <v>0.3</v>
      </c>
      <c r="G465" s="353"/>
      <c r="H465" s="93" t="str">
        <f t="shared" si="321"/>
        <v>豬絞肉</v>
      </c>
      <c r="I465" s="86">
        <f>IFERROR(IF(LEN(D465)=LENB(D465),ROUND(LEFT(D465,2*LEN(D465)-LENB(D465))/$A$1,3),((ROUND(LEFT(D465,2*LEN(D465)-LENB(D465))/$A$1,3))*VLOOKUP(H465,食材表!$A:$B,2,FALSE))),"")</f>
        <v>1.2E-2</v>
      </c>
      <c r="J465" s="93" t="str">
        <f t="shared" si="322"/>
        <v>杏鮑菇</v>
      </c>
      <c r="K465" s="86">
        <f>IFERROR(IF(LEN(F465)=LENB(F465),ROUND(LEFT(F465,2*LEN(F465)-LENB(F465))/$A$1,3),((ROUND(LEFT(F465,2*LEN(F465)-LENB(F465))/$A$1,3))*VLOOKUP(J465,食材表!$A:$B,2,FALSE))),"")</f>
        <v>6.0000000000000001E-3</v>
      </c>
      <c r="L465" s="343"/>
      <c r="M465" s="343"/>
      <c r="N465" s="343"/>
      <c r="O465" s="343"/>
      <c r="P465" s="343"/>
      <c r="Q465" s="343"/>
      <c r="R465" s="343"/>
      <c r="S465" s="343"/>
    </row>
    <row r="466" spans="1:19">
      <c r="A466" s="33" t="str">
        <f>"3"&amp;+$B464</f>
        <v>3茄汁義大利麵</v>
      </c>
      <c r="B466" s="364"/>
      <c r="C466" s="28" t="s">
        <v>112</v>
      </c>
      <c r="D466" s="8" t="s">
        <v>64</v>
      </c>
      <c r="E466" s="29" t="s">
        <v>113</v>
      </c>
      <c r="F466" s="8">
        <v>0.6</v>
      </c>
      <c r="G466" s="354"/>
      <c r="H466" s="92" t="str">
        <f t="shared" si="321"/>
        <v>義大利麵醬</v>
      </c>
      <c r="I466" s="84">
        <f>IFERROR(IF(LEN(D466)=LENB(D466),ROUND(LEFT(D466,2*LEN(D466)-LENB(D466))/$A$1,3),((ROUND(LEFT(D466,2*LEN(D466)-LENB(D466))/$A$1,3))*VLOOKUP(H466,食材表!$A:$B,2,FALSE))),"")</f>
        <v>1.3600000000000001E-2</v>
      </c>
      <c r="J466" s="92" t="str">
        <f t="shared" si="322"/>
        <v>小白菜</v>
      </c>
      <c r="K466" s="85">
        <f>IFERROR(IF(LEN(F466)=LENB(F466),ROUND(LEFT(F466,2*LEN(F466)-LENB(F466))/$A$1,3),((ROUND(LEFT(F466,2*LEN(F466)-LENB(F466))/$A$1,3))*VLOOKUP(J466,食材表!$A:$B,2,FALSE))),"")</f>
        <v>1.2E-2</v>
      </c>
      <c r="L466" s="344"/>
      <c r="M466" s="344"/>
      <c r="N466" s="344"/>
      <c r="O466" s="344"/>
      <c r="P466" s="344"/>
      <c r="Q466" s="344"/>
      <c r="R466" s="344"/>
      <c r="S466" s="344"/>
    </row>
    <row r="467" spans="1:19">
      <c r="A467" s="33" t="str">
        <f>"1"&amp;+$B467</f>
        <v>1義大利麵</v>
      </c>
      <c r="B467" s="377" t="s">
        <v>999</v>
      </c>
      <c r="C467" s="55" t="s">
        <v>1000</v>
      </c>
      <c r="D467" s="56" t="s">
        <v>1001</v>
      </c>
      <c r="E467" s="58" t="s">
        <v>161</v>
      </c>
      <c r="F467" s="56">
        <v>0.5</v>
      </c>
      <c r="G467" s="352" t="str">
        <f>B467</f>
        <v>義大利麵</v>
      </c>
      <c r="H467" s="91" t="str">
        <f t="shared" si="321"/>
        <v>義大利麵條</v>
      </c>
      <c r="I467" s="83" t="str">
        <f>IFERROR(IF(LEN(D467)=LENB(D467),ROUND(LEFT(D467,2*LEN(D467)-LENB(D467))/$A$1,3),((ROUND(LEFT(D467,2*LEN(D467)-LENB(D467))/$A$1,3))*VLOOKUP(H467,食材表!$A:$B,2,FALSE))),"")</f>
        <v/>
      </c>
      <c r="J467" s="91" t="str">
        <f t="shared" si="322"/>
        <v>洋蔥</v>
      </c>
      <c r="K467" s="83">
        <f>IFERROR(IF(LEN(F467)=LENB(F467),ROUND(LEFT(F467,2*LEN(F467)-LENB(F467))/$A$1,3),((ROUND(LEFT(F467,2*LEN(F467)-LENB(F467))/$A$1,3))*VLOOKUP(J467,食材表!$A:$B,2,FALSE))),"")</f>
        <v>0.01</v>
      </c>
      <c r="L467" s="342">
        <f>IFERROR($I467*VLOOKUP($H467,食材表!$A:C,3,FALSE),0)+IFERROR($I468*VLOOKUP($H468,食材表!$A:C,3,FALSE),0)+IFERROR($I469*VLOOKUP($H469,食材表!$A:C,3,FALSE),0)+IFERROR($K467*VLOOKUP($J467,食材表!$A:C,3,FALSE),0)+IFERROR($K468*VLOOKUP($J468,食材表!$A:C,3,FALSE),0)+IFERROR($K469*VLOOKUP($J469,食材表!$A:C,3,FALSE),0)</f>
        <v>0</v>
      </c>
      <c r="M467" s="342">
        <f>IFERROR($I467*VLOOKUP($H467,食材表!$A:D,4,FALSE),0)+IFERROR($I468*VLOOKUP($H468,食材表!$A:D,4,FALSE),0)+IFERROR($I469*VLOOKUP($H469,食材表!$A:D,4,FALSE),0)+IFERROR($K467*VLOOKUP($J467,食材表!$A:D,4,FALSE),0)+IFERROR($K468*VLOOKUP($J468,食材表!$A:D,4,FALSE),0)+IFERROR($K469*VLOOKUP($J469,食材表!$A:D,4,FALSE),0)</f>
        <v>0.34285714285714286</v>
      </c>
      <c r="N467" s="342">
        <f>IFERROR($I467*VLOOKUP($H467,食材表!$A:E,5,FALSE),0)+IFERROR($I468*VLOOKUP($H468,食材表!$A:E,5,FALSE),0)+IFERROR($I469*VLOOKUP($H469,食材表!$A:E,5,FALSE),0)+IFERROR($K467*VLOOKUP($J467,食材表!$A:E,5,FALSE),0)+IFERROR($K468*VLOOKUP($J468,食材表!$A:E,5,FALSE),0)+IFERROR($K469*VLOOKUP($J469,食材表!$A:E,5,FALSE),0)</f>
        <v>0</v>
      </c>
      <c r="O467" s="342">
        <f>IFERROR($I467*VLOOKUP($H467,食材表!$A:F,6,FALSE),0)+IFERROR($I468*VLOOKUP($H468,食材表!$A:F,6,FALSE),0)+IFERROR($I469*VLOOKUP($H469,食材表!$A:F,6,FALSE),0)+IFERROR($K467*VLOOKUP($J467,食材表!$A:F,6,FALSE),0)+IFERROR($K468*VLOOKUP($J468,食材表!$A:F,6,FALSE),0)+IFERROR($K469*VLOOKUP($J469,食材表!$A:F,6,FALSE),0)</f>
        <v>0.28000000000000003</v>
      </c>
      <c r="P467" s="342">
        <f>IFERROR($I467*VLOOKUP($H467,食材表!$A:G,7,FALSE),0)+IFERROR($I468*VLOOKUP($H468,食材表!$A:G,7,FALSE),0)+IFERROR($I469*VLOOKUP($H469,食材表!$A:G,7,FALSE),0)+IFERROR($K467*VLOOKUP($J467,食材表!$A:G,7,FALSE),0)+IFERROR($K468*VLOOKUP($J468,食材表!$A:G,7,FALSE),0)+IFERROR($K469*VLOOKUP($J469,食材表!$A:G,7,FALSE),0)</f>
        <v>0</v>
      </c>
      <c r="Q467" s="342">
        <f>IFERROR($I467*VLOOKUP($H467,食材表!$A:H,8,FALSE),0)+IFERROR($I468*VLOOKUP($H468,食材表!$A:H,8,FALSE),0)+IFERROR($I469*VLOOKUP($H469,食材表!$A:H,8,FALSE),0)+IFERROR($K467*VLOOKUP($J467,食材表!$A:H,8,FALSE),0)+IFERROR($K468*VLOOKUP($J468,食材表!$A:H,8,FALSE),0)+IFERROR($K469*VLOOKUP($J469,食材表!$A:H,8,FALSE),0)</f>
        <v>0</v>
      </c>
      <c r="R467" s="342">
        <f>IFERROR($I467*VLOOKUP($H467,食材表!$A:I,9,FALSE),0)+IFERROR($I468*VLOOKUP($H468,食材表!$A:I,9,FALSE),0)+IFERROR($I469*VLOOKUP($H469,食材表!$A:I,9,FALSE),0)+IFERROR($K467*VLOOKUP($J467,食材表!$A:I,9,FALSE),0)+IFERROR($K468*VLOOKUP($J468,食材表!$A:I,9,FALSE),0)+IFERROR($K469*VLOOKUP($J469,食材表!$A:I,9,FALSE),0)</f>
        <v>0</v>
      </c>
      <c r="S467" s="342">
        <f>SUM(L467*70+M467*75+N467*120+O467*25+P467*60+Q467*45+R467*4)</f>
        <v>32.714285714285715</v>
      </c>
    </row>
    <row r="468" spans="1:19">
      <c r="A468" s="33" t="str">
        <f>"2"&amp;+$B467</f>
        <v>2義大利麵</v>
      </c>
      <c r="B468" s="378"/>
      <c r="C468" s="31" t="s">
        <v>138</v>
      </c>
      <c r="D468" s="33">
        <v>0.6</v>
      </c>
      <c r="E468" s="27" t="s">
        <v>313</v>
      </c>
      <c r="F468" s="33">
        <v>0.3</v>
      </c>
      <c r="G468" s="353"/>
      <c r="H468" s="93" t="str">
        <f t="shared" ref="H468:H469" si="326">C468</f>
        <v>豬絞肉</v>
      </c>
      <c r="I468" s="86">
        <f>IFERROR(IF(LEN(D468)=LENB(D468),ROUND(LEFT(D468,2*LEN(D468)-LENB(D468))/$A$1,3),((ROUND(LEFT(D468,2*LEN(D468)-LENB(D468))/$A$1,3))*VLOOKUP(H468,食材表!$A:$B,2,FALSE))),"")</f>
        <v>1.2E-2</v>
      </c>
      <c r="J468" s="93" t="str">
        <f t="shared" ref="J468:J469" si="327">E468</f>
        <v>杏鮑菇</v>
      </c>
      <c r="K468" s="86">
        <f>IFERROR(IF(LEN(F468)=LENB(F468),ROUND(LEFT(F468,2*LEN(F468)-LENB(F468))/$A$1,3),((ROUND(LEFT(F468,2*LEN(F468)-LENB(F468))/$A$1,3))*VLOOKUP(J468,食材表!$A:$B,2,FALSE))),"")</f>
        <v>6.0000000000000001E-3</v>
      </c>
      <c r="L468" s="343"/>
      <c r="M468" s="343"/>
      <c r="N468" s="343"/>
      <c r="O468" s="343"/>
      <c r="P468" s="343"/>
      <c r="Q468" s="343"/>
      <c r="R468" s="343"/>
      <c r="S468" s="343"/>
    </row>
    <row r="469" spans="1:19">
      <c r="A469" s="33" t="str">
        <f>"3"&amp;+$B467</f>
        <v>3義大利麵</v>
      </c>
      <c r="B469" s="379"/>
      <c r="C469" s="28" t="s">
        <v>252</v>
      </c>
      <c r="D469" s="8" t="s">
        <v>125</v>
      </c>
      <c r="E469" s="29" t="s">
        <v>165</v>
      </c>
      <c r="F469" s="8">
        <v>0.6</v>
      </c>
      <c r="G469" s="354"/>
      <c r="H469" s="92" t="str">
        <f t="shared" si="326"/>
        <v>義大利麵醬</v>
      </c>
      <c r="I469" s="84">
        <f>IFERROR(IF(LEN(D469)=LENB(D469),ROUND(LEFT(D469,2*LEN(D469)-LENB(D469))/$A$1,3),((ROUND(LEFT(D469,2*LEN(D469)-LENB(D469))/$A$1,3))*VLOOKUP(H469,食材表!$A:$B,2,FALSE))),"")</f>
        <v>1.3600000000000001E-2</v>
      </c>
      <c r="J469" s="92" t="str">
        <f t="shared" si="327"/>
        <v>小白菜</v>
      </c>
      <c r="K469" s="85">
        <f>IFERROR(IF(LEN(F469)=LENB(F469),ROUND(LEFT(F469,2*LEN(F469)-LENB(F469))/$A$1,3),((ROUND(LEFT(F469,2*LEN(F469)-LENB(F469))/$A$1,3))*VLOOKUP(J469,食材表!$A:$B,2,FALSE))),"")</f>
        <v>1.2E-2</v>
      </c>
      <c r="L469" s="344"/>
      <c r="M469" s="344"/>
      <c r="N469" s="344"/>
      <c r="O469" s="344"/>
      <c r="P469" s="344"/>
      <c r="Q469" s="344"/>
      <c r="R469" s="344"/>
      <c r="S469" s="344"/>
    </row>
    <row r="470" spans="1:19">
      <c r="A470" s="33" t="str">
        <f>"1"&amp;+$B470</f>
        <v>1蝦香白菜粉絲煲</v>
      </c>
      <c r="B470" s="349" t="s">
        <v>197</v>
      </c>
      <c r="C470" s="60" t="s">
        <v>198</v>
      </c>
      <c r="D470" s="59">
        <v>0.1</v>
      </c>
      <c r="E470" s="60" t="s">
        <v>199</v>
      </c>
      <c r="F470" s="59">
        <v>0.1</v>
      </c>
      <c r="G470" s="352" t="str">
        <f>B470</f>
        <v>蝦香白菜粉絲煲</v>
      </c>
      <c r="H470" s="91" t="str">
        <f>C470</f>
        <v>蝦皮</v>
      </c>
      <c r="I470" s="83">
        <f>IFERROR(IF(LEN(D470)=LENB(D470),ROUND(LEFT(D470,2*LEN(D470)-LENB(D470))/$A$1,3),((ROUND(LEFT(D470,2*LEN(D470)-LENB(D470))/$A$1,3))*VLOOKUP(H470,食材表!$A:$B,2,FALSE))),"")</f>
        <v>2E-3</v>
      </c>
      <c r="J470" s="91" t="str">
        <f>E470</f>
        <v>乾香菇絲</v>
      </c>
      <c r="K470" s="83">
        <f>IFERROR(IF(LEN(F470)=LENB(F470),ROUND(LEFT(F470,2*LEN(F470)-LENB(F470))/$A$1,3),((ROUND(LEFT(F470,2*LEN(F470)-LENB(F470))/$A$1,3))*VLOOKUP(J470,食材表!$A:$B,2,FALSE))),"")</f>
        <v>2E-3</v>
      </c>
      <c r="L470" s="342">
        <f>IFERROR($I470*VLOOKUP($H470,食材表!$A:C,3,FALSE),0)+IFERROR($I471*VLOOKUP($H471,食材表!$A:C,3,FALSE),0)+IFERROR($I472*VLOOKUP($H472,食材表!$A:C,3,FALSE),0)+IFERROR($K470*VLOOKUP($J470,食材表!$A:C,3,FALSE),0)+IFERROR($K471*VLOOKUP($J471,食材表!$A:C,3,FALSE),0)+IFERROR($K472*VLOOKUP($J472,食材表!$A:C,3,FALSE),0)</f>
        <v>1.3333333333333335</v>
      </c>
      <c r="M470" s="342">
        <f>IFERROR($I470*VLOOKUP($H470,食材表!$A:D,4,FALSE),0)+IFERROR($I471*VLOOKUP($H471,食材表!$A:D,4,FALSE),0)+IFERROR($I472*VLOOKUP($H472,食材表!$A:D,4,FALSE),0)+IFERROR($K470*VLOOKUP($J470,食材表!$A:D,4,FALSE),0)+IFERROR($K471*VLOOKUP($J471,食材表!$A:D,4,FALSE),0)+IFERROR($K472*VLOOKUP($J472,食材表!$A:D,4,FALSE),0)</f>
        <v>0</v>
      </c>
      <c r="N470" s="342">
        <f>IFERROR($I470*VLOOKUP($H470,食材表!$A:E,5,FALSE),0)+IFERROR($I471*VLOOKUP($H471,食材表!$A:E,5,FALSE),0)+IFERROR($I472*VLOOKUP($H472,食材表!$A:E,5,FALSE),0)+IFERROR($K470*VLOOKUP($J470,食材表!$A:E,5,FALSE),0)+IFERROR($K471*VLOOKUP($J471,食材表!$A:E,5,FALSE),0)+IFERROR($K472*VLOOKUP($J472,食材表!$A:E,5,FALSE),0)</f>
        <v>0</v>
      </c>
      <c r="O470" s="342">
        <f>IFERROR($I470*VLOOKUP($H470,食材表!$A:F,6,FALSE),0)+IFERROR($I471*VLOOKUP($H471,食材表!$A:F,6,FALSE),0)+IFERROR($I472*VLOOKUP($H472,食材表!$A:F,6,FALSE),0)+IFERROR($K470*VLOOKUP($J470,食材表!$A:F,6,FALSE),0)+IFERROR($K471*VLOOKUP($J471,食材表!$A:F,6,FALSE),0)+IFERROR($K472*VLOOKUP($J472,食材表!$A:F,6,FALSE),0)</f>
        <v>0.2</v>
      </c>
      <c r="P470" s="342">
        <f>IFERROR($I470*VLOOKUP($H470,食材表!$A:G,7,FALSE),0)+IFERROR($I471*VLOOKUP($H471,食材表!$A:G,7,FALSE),0)+IFERROR($I472*VLOOKUP($H472,食材表!$A:G,7,FALSE),0)+IFERROR($K470*VLOOKUP($J470,食材表!$A:G,7,FALSE),0)+IFERROR($K471*VLOOKUP($J471,食材表!$A:G,7,FALSE),0)+IFERROR($K472*VLOOKUP($J472,食材表!$A:G,7,FALSE),0)</f>
        <v>0</v>
      </c>
      <c r="Q470" s="342">
        <f>IFERROR($I470*VLOOKUP($H470,食材表!$A:H,8,FALSE),0)+IFERROR($I471*VLOOKUP($H471,食材表!$A:H,8,FALSE),0)+IFERROR($I472*VLOOKUP($H472,食材表!$A:H,8,FALSE),0)+IFERROR($K470*VLOOKUP($J470,食材表!$A:H,8,FALSE),0)+IFERROR($K471*VLOOKUP($J471,食材表!$A:H,8,FALSE),0)+IFERROR($K472*VLOOKUP($J472,食材表!$A:H,8,FALSE),0)</f>
        <v>0</v>
      </c>
      <c r="R470" s="342">
        <f>IFERROR($I470*VLOOKUP($H470,食材表!$A:I,9,FALSE),0)+IFERROR($I471*VLOOKUP($H471,食材表!$A:I,9,FALSE),0)+IFERROR($I472*VLOOKUP($H472,食材表!$A:I,9,FALSE),0)+IFERROR($K470*VLOOKUP($J470,食材表!$A:I,9,FALSE),0)+IFERROR($K471*VLOOKUP($J471,食材表!$A:I,9,FALSE),0)+IFERROR($K472*VLOOKUP($J472,食材表!$A:I,9,FALSE),0)</f>
        <v>0</v>
      </c>
      <c r="S470" s="342">
        <f>SUM(L470*70+M470*75+N470*120+O470*25+P470*60+Q470*45+R470*4)</f>
        <v>98.333333333333343</v>
      </c>
    </row>
    <row r="471" spans="1:19">
      <c r="A471" s="33" t="str">
        <f>"2"&amp;+$B470</f>
        <v>2蝦香白菜粉絲煲</v>
      </c>
      <c r="B471" s="383"/>
      <c r="C471" s="22" t="s">
        <v>82</v>
      </c>
      <c r="D471" s="36">
        <v>1.2</v>
      </c>
      <c r="E471" s="31"/>
      <c r="F471" s="33"/>
      <c r="G471" s="353"/>
      <c r="H471" s="93" t="str">
        <f t="shared" ref="H471:H472" si="328">C471</f>
        <v>大白菜</v>
      </c>
      <c r="I471" s="86">
        <f>IFERROR(IF(LEN(D471)=LENB(D471),ROUND(LEFT(D471,2*LEN(D471)-LENB(D471))/$A$1,3),((ROUND(LEFT(D471,2*LEN(D471)-LENB(D471))/$A$1,3))*VLOOKUP(H471,食材表!$A:$B,2,FALSE))),"")</f>
        <v>2.4E-2</v>
      </c>
      <c r="J471" s="93">
        <f t="shared" ref="J471:J472" si="329">E471</f>
        <v>0</v>
      </c>
      <c r="K471" s="86" t="str">
        <f>IFERROR(IF(LEN(F471)=LENB(F471),ROUND(LEFT(F471,2*LEN(F471)-LENB(F471))/$A$1,3),((ROUND(LEFT(F471,2*LEN(F471)-LENB(F471))/$A$1,3))*VLOOKUP(J471,食材表!$A:$B,2,FALSE))),"")</f>
        <v/>
      </c>
      <c r="L471" s="343"/>
      <c r="M471" s="343"/>
      <c r="N471" s="343"/>
      <c r="O471" s="343"/>
      <c r="P471" s="343"/>
      <c r="Q471" s="343"/>
      <c r="R471" s="343"/>
      <c r="S471" s="343"/>
    </row>
    <row r="472" spans="1:19">
      <c r="A472" s="33" t="str">
        <f>"3"&amp;+$B470</f>
        <v>3蝦香白菜粉絲煲</v>
      </c>
      <c r="B472" s="351"/>
      <c r="C472" s="28" t="s">
        <v>200</v>
      </c>
      <c r="D472" s="8">
        <v>1</v>
      </c>
      <c r="E472" s="26"/>
      <c r="F472" s="37"/>
      <c r="G472" s="354"/>
      <c r="H472" s="92" t="str">
        <f t="shared" si="328"/>
        <v>冬粉</v>
      </c>
      <c r="I472" s="84">
        <f>IFERROR(IF(LEN(D472)=LENB(D472),ROUND(LEFT(D472,2*LEN(D472)-LENB(D472))/$A$1,3),((ROUND(LEFT(D472,2*LEN(D472)-LENB(D472))/$A$1,3))*VLOOKUP(H472,食材表!$A:$B,2,FALSE))),"")</f>
        <v>0.02</v>
      </c>
      <c r="J472" s="92">
        <f t="shared" si="329"/>
        <v>0</v>
      </c>
      <c r="K472" s="85" t="str">
        <f>IFERROR(IF(LEN(F472)=LENB(F472),ROUND(LEFT(F472,2*LEN(F472)-LENB(F472))/$A$1,3),((ROUND(LEFT(F472,2*LEN(F472)-LENB(F472))/$A$1,3))*VLOOKUP(J472,食材表!$A:$B,2,FALSE))),"")</f>
        <v/>
      </c>
      <c r="L472" s="344"/>
      <c r="M472" s="344"/>
      <c r="N472" s="344"/>
      <c r="O472" s="344"/>
      <c r="P472" s="344"/>
      <c r="Q472" s="344"/>
      <c r="R472" s="344"/>
      <c r="S472" s="344"/>
    </row>
    <row r="473" spans="1:19">
      <c r="A473" s="33" t="str">
        <f>"1"&amp;+$B473</f>
        <v>1羅漢果茶</v>
      </c>
      <c r="B473" s="368" t="s">
        <v>1147</v>
      </c>
      <c r="C473" s="60" t="s">
        <v>1147</v>
      </c>
      <c r="D473" s="36" t="s">
        <v>1148</v>
      </c>
      <c r="E473" s="22"/>
      <c r="F473" s="59"/>
      <c r="G473" s="352" t="str">
        <f>B473</f>
        <v>羅漢果茶</v>
      </c>
      <c r="H473" s="91" t="str">
        <f>C473</f>
        <v>羅漢果茶</v>
      </c>
      <c r="I473" s="83" t="str">
        <f>IFERROR(IF(LEN(D473)=LENB(D473),ROUND(LEFT(D473,2*LEN(D473)-LENB(D473))/$A$1,3),((ROUND(LEFT(D473,2*LEN(D473)-LENB(D473))/$A$1,3))*VLOOKUP(H473,食材表!$A:$B,2,FALSE))),"")</f>
        <v/>
      </c>
      <c r="J473" s="91">
        <f>E473</f>
        <v>0</v>
      </c>
      <c r="K473" s="83" t="str">
        <f>IFERROR(IF(LEN(F473)=LENB(F473),ROUND(LEFT(F473,2*LEN(F473)-LENB(F473))/$A$1,3),((ROUND(LEFT(F473,2*LEN(F473)-LENB(F473))/$A$1,3))*VLOOKUP(J473,食材表!$A:$B,2,FALSE))),"")</f>
        <v/>
      </c>
      <c r="L473" s="342">
        <f>IFERROR($I473*VLOOKUP($H473,食材表!$A:C,3,FALSE),0)+IFERROR($I474*VLOOKUP($H474,食材表!$A:C,3,FALSE),0)+IFERROR($I475*VLOOKUP($H475,食材表!$A:C,3,FALSE),0)+IFERROR($K473*VLOOKUP($J473,食材表!$A:C,3,FALSE),0)+IFERROR($K474*VLOOKUP($J474,食材表!$A:C,3,FALSE),0)+IFERROR($K475*VLOOKUP($J475,食材表!$A:C,3,FALSE),0)</f>
        <v>0</v>
      </c>
      <c r="M473" s="342">
        <f>IFERROR($I473*VLOOKUP($H473,食材表!$A:D,4,FALSE),0)+IFERROR($I474*VLOOKUP($H474,食材表!$A:D,4,FALSE),0)+IFERROR($I475*VLOOKUP($H475,食材表!$A:D,4,FALSE),0)+IFERROR($K473*VLOOKUP($J473,食材表!$A:D,4,FALSE),0)+IFERROR($K474*VLOOKUP($J474,食材表!$A:D,4,FALSE),0)+IFERROR($K475*VLOOKUP($J475,食材表!$A:D,4,FALSE),0)</f>
        <v>0</v>
      </c>
      <c r="N473" s="342">
        <f>IFERROR($I473*VLOOKUP($H473,食材表!$A:E,5,FALSE),0)+IFERROR($I474*VLOOKUP($H474,食材表!$A:E,5,FALSE),0)+IFERROR($I475*VLOOKUP($H475,食材表!$A:E,5,FALSE),0)+IFERROR($K473*VLOOKUP($J473,食材表!$A:E,5,FALSE),0)+IFERROR($K474*VLOOKUP($J474,食材表!$A:E,5,FALSE),0)+IFERROR($K475*VLOOKUP($J475,食材表!$A:E,5,FALSE),0)</f>
        <v>0</v>
      </c>
      <c r="O473" s="342">
        <f>IFERROR($I473*VLOOKUP($H473,食材表!$A:F,6,FALSE),0)+IFERROR($I474*VLOOKUP($H474,食材表!$A:F,6,FALSE),0)+IFERROR($I475*VLOOKUP($H475,食材表!$A:F,6,FALSE),0)+IFERROR($K473*VLOOKUP($J473,食材表!$A:F,6,FALSE),0)+IFERROR($K474*VLOOKUP($J474,食材表!$A:F,6,FALSE),0)+IFERROR($K475*VLOOKUP($J475,食材表!$A:F,6,FALSE),0)</f>
        <v>0</v>
      </c>
      <c r="P473" s="342">
        <f>IFERROR($I473*VLOOKUP($H473,食材表!$A:G,7,FALSE),0)+IFERROR($I474*VLOOKUP($H474,食材表!$A:G,7,FALSE),0)+IFERROR($I475*VLOOKUP($H475,食材表!$A:G,7,FALSE),0)+IFERROR($K473*VLOOKUP($J473,食材表!$A:G,7,FALSE),0)+IFERROR($K474*VLOOKUP($J474,食材表!$A:G,7,FALSE),0)+IFERROR($K475*VLOOKUP($J475,食材表!$A:G,7,FALSE),0)</f>
        <v>0</v>
      </c>
      <c r="Q473" s="342">
        <f>IFERROR($I473*VLOOKUP($H473,食材表!$A:H,8,FALSE),0)+IFERROR($I474*VLOOKUP($H474,食材表!$A:H,8,FALSE),0)+IFERROR($I475*VLOOKUP($H475,食材表!$A:H,8,FALSE),0)+IFERROR($K473*VLOOKUP($J473,食材表!$A:H,8,FALSE),0)+IFERROR($K474*VLOOKUP($J474,食材表!$A:H,8,FALSE),0)+IFERROR($K475*VLOOKUP($J475,食材表!$A:H,8,FALSE),0)</f>
        <v>0</v>
      </c>
      <c r="R473" s="342">
        <f>IFERROR($I473*VLOOKUP($H473,食材表!$A:I,9,FALSE),0)+IFERROR($I474*VLOOKUP($H474,食材表!$A:I,9,FALSE),0)+IFERROR($I475*VLOOKUP($H475,食材表!$A:I,9,FALSE),0)+IFERROR($K473*VLOOKUP($J473,食材表!$A:I,9,FALSE),0)+IFERROR($K474*VLOOKUP($J474,食材表!$A:I,9,FALSE),0)+IFERROR($K475*VLOOKUP($J475,食材表!$A:I,9,FALSE),0)</f>
        <v>0</v>
      </c>
      <c r="S473" s="342">
        <f>SUM(L473*70+M473*75+N473*120+O473*25+P473*60+Q473*45+R473*4)</f>
        <v>0</v>
      </c>
    </row>
    <row r="474" spans="1:19">
      <c r="A474" s="33" t="str">
        <f>"2"&amp;+$B473</f>
        <v>2羅漢果茶</v>
      </c>
      <c r="B474" s="369"/>
      <c r="C474" s="22"/>
      <c r="D474" s="36"/>
      <c r="E474" s="22"/>
      <c r="F474" s="36"/>
      <c r="G474" s="353"/>
      <c r="H474" s="93">
        <f t="shared" ref="H474:H475" si="330">C474</f>
        <v>0</v>
      </c>
      <c r="I474" s="86" t="str">
        <f>IFERROR(IF(LEN(D474)=LENB(D474),ROUND(LEFT(D474,2*LEN(D474)-LENB(D474))/$A$1,3),((ROUND(LEFT(D474,2*LEN(D474)-LENB(D474))/$A$1,3))*VLOOKUP(H474,食材表!$A:$B,2,FALSE))),"")</f>
        <v/>
      </c>
      <c r="J474" s="93">
        <f t="shared" ref="J474:J475" si="331">E474</f>
        <v>0</v>
      </c>
      <c r="K474" s="86" t="str">
        <f>IFERROR(IF(LEN(F474)=LENB(F474),ROUND(LEFT(F474,2*LEN(F474)-LENB(F474))/$A$1,3),((ROUND(LEFT(F474,2*LEN(F474)-LENB(F474))/$A$1,3))*VLOOKUP(J474,食材表!$A:$B,2,FALSE))),"")</f>
        <v/>
      </c>
      <c r="L474" s="343"/>
      <c r="M474" s="343"/>
      <c r="N474" s="343"/>
      <c r="O474" s="343"/>
      <c r="P474" s="343"/>
      <c r="Q474" s="343"/>
      <c r="R474" s="343"/>
      <c r="S474" s="343"/>
    </row>
    <row r="475" spans="1:19">
      <c r="A475" s="33" t="str">
        <f>"3"&amp;+$B473</f>
        <v>3羅漢果茶</v>
      </c>
      <c r="B475" s="370"/>
      <c r="C475" s="26"/>
      <c r="D475" s="37"/>
      <c r="E475" s="26"/>
      <c r="F475" s="37"/>
      <c r="G475" s="354"/>
      <c r="H475" s="92">
        <f t="shared" si="330"/>
        <v>0</v>
      </c>
      <c r="I475" s="84" t="str">
        <f>IFERROR(IF(LEN(D475)=LENB(D475),ROUND(LEFT(D475,2*LEN(D475)-LENB(D475))/$A$1,3),((ROUND(LEFT(D475,2*LEN(D475)-LENB(D475))/$A$1,3))*VLOOKUP(H475,食材表!$A:$B,2,FALSE))),"")</f>
        <v/>
      </c>
      <c r="J475" s="92">
        <f t="shared" si="331"/>
        <v>0</v>
      </c>
      <c r="K475" s="85" t="str">
        <f>IFERROR(IF(LEN(F475)=LENB(F475),ROUND(LEFT(F475,2*LEN(F475)-LENB(F475))/$A$1,3),((ROUND(LEFT(F475,2*LEN(F475)-LENB(F475))/$A$1,3))*VLOOKUP(J475,食材表!$A:$B,2,FALSE))),"")</f>
        <v/>
      </c>
      <c r="L475" s="344"/>
      <c r="M475" s="344"/>
      <c r="N475" s="344"/>
      <c r="O475" s="344"/>
      <c r="P475" s="344"/>
      <c r="Q475" s="344"/>
      <c r="R475" s="344"/>
      <c r="S475" s="344"/>
    </row>
    <row r="476" spans="1:19">
      <c r="A476" s="33" t="str">
        <f>"1"&amp;+$B476</f>
        <v>1養生茶</v>
      </c>
      <c r="B476" s="368" t="s">
        <v>1065</v>
      </c>
      <c r="C476" s="60" t="s">
        <v>446</v>
      </c>
      <c r="D476" s="36" t="s">
        <v>203</v>
      </c>
      <c r="E476" s="22"/>
      <c r="F476" s="59"/>
      <c r="G476" s="352" t="str">
        <f>B476</f>
        <v>養生茶</v>
      </c>
      <c r="H476" s="91" t="str">
        <f>C476</f>
        <v>養生茶包</v>
      </c>
      <c r="I476" s="83">
        <f>IFERROR(IF(LEN(D476)=LENB(D476),ROUND(LEFT(D476,2*LEN(D476)-LENB(D476))/$A$1,3),((ROUND(LEFT(D476,2*LEN(D476)-LENB(D476))/$A$1,3))*VLOOKUP(H476,食材表!$A:$B,2,FALSE))),"")</f>
        <v>6.0000000000000001E-3</v>
      </c>
      <c r="J476" s="91">
        <f>E476</f>
        <v>0</v>
      </c>
      <c r="K476" s="83" t="str">
        <f>IFERROR(IF(LEN(F476)=LENB(F476),ROUND(LEFT(F476,2*LEN(F476)-LENB(F476))/$A$1,3),((ROUND(LEFT(F476,2*LEN(F476)-LENB(F476))/$A$1,3))*VLOOKUP(J476,食材表!$A:$B,2,FALSE))),"")</f>
        <v/>
      </c>
      <c r="L476" s="342">
        <f>IFERROR($I476*VLOOKUP($H476,食材表!$A:C,3,FALSE),0)+IFERROR($I477*VLOOKUP($H477,食材表!$A:C,3,FALSE),0)+IFERROR($I478*VLOOKUP($H478,食材表!$A:C,3,FALSE),0)+IFERROR($K476*VLOOKUP($J476,食材表!$A:C,3,FALSE),0)+IFERROR($K477*VLOOKUP($J477,食材表!$A:C,3,FALSE),0)+IFERROR($K478*VLOOKUP($J478,食材表!$A:C,3,FALSE),0)</f>
        <v>0</v>
      </c>
      <c r="M476" s="342">
        <f>IFERROR($I476*VLOOKUP($H476,食材表!$A:D,4,FALSE),0)+IFERROR($I477*VLOOKUP($H477,食材表!$A:D,4,FALSE),0)+IFERROR($I478*VLOOKUP($H478,食材表!$A:D,4,FALSE),0)+IFERROR($K476*VLOOKUP($J476,食材表!$A:D,4,FALSE),0)+IFERROR($K477*VLOOKUP($J477,食材表!$A:D,4,FALSE),0)+IFERROR($K478*VLOOKUP($J478,食材表!$A:D,4,FALSE),0)</f>
        <v>0</v>
      </c>
      <c r="N476" s="342">
        <f>IFERROR($I476*VLOOKUP($H476,食材表!$A:E,5,FALSE),0)+IFERROR($I477*VLOOKUP($H477,食材表!$A:E,5,FALSE),0)+IFERROR($I478*VLOOKUP($H478,食材表!$A:E,5,FALSE),0)+IFERROR($K476*VLOOKUP($J476,食材表!$A:E,5,FALSE),0)+IFERROR($K477*VLOOKUP($J477,食材表!$A:E,5,FALSE),0)+IFERROR($K478*VLOOKUP($J478,食材表!$A:E,5,FALSE),0)</f>
        <v>0</v>
      </c>
      <c r="O476" s="342">
        <f>IFERROR($I476*VLOOKUP($H476,食材表!$A:F,6,FALSE),0)+IFERROR($I477*VLOOKUP($H477,食材表!$A:F,6,FALSE),0)+IFERROR($I478*VLOOKUP($H478,食材表!$A:F,6,FALSE),0)+IFERROR($K476*VLOOKUP($J476,食材表!$A:F,6,FALSE),0)+IFERROR($K477*VLOOKUP($J477,食材表!$A:F,6,FALSE),0)+IFERROR($K478*VLOOKUP($J478,食材表!$A:F,6,FALSE),0)</f>
        <v>0</v>
      </c>
      <c r="P476" s="342">
        <f>IFERROR($I476*VLOOKUP($H476,食材表!$A:G,7,FALSE),0)+IFERROR($I477*VLOOKUP($H477,食材表!$A:G,7,FALSE),0)+IFERROR($I478*VLOOKUP($H478,食材表!$A:G,7,FALSE),0)+IFERROR($K476*VLOOKUP($J476,食材表!$A:G,7,FALSE),0)+IFERROR($K477*VLOOKUP($J477,食材表!$A:G,7,FALSE),0)+IFERROR($K478*VLOOKUP($J478,食材表!$A:G,7,FALSE),0)</f>
        <v>0</v>
      </c>
      <c r="Q476" s="342">
        <f>IFERROR($I476*VLOOKUP($H476,食材表!$A:H,8,FALSE),0)+IFERROR($I477*VLOOKUP($H477,食材表!$A:H,8,FALSE),0)+IFERROR($I478*VLOOKUP($H478,食材表!$A:H,8,FALSE),0)+IFERROR($K476*VLOOKUP($J476,食材表!$A:H,8,FALSE),0)+IFERROR($K477*VLOOKUP($J477,食材表!$A:H,8,FALSE),0)+IFERROR($K478*VLOOKUP($J478,食材表!$A:H,8,FALSE),0)</f>
        <v>0</v>
      </c>
      <c r="R476" s="342">
        <f>IFERROR($I476*VLOOKUP($H476,食材表!$A:I,9,FALSE),0)+IFERROR($I477*VLOOKUP($H477,食材表!$A:I,9,FALSE),0)+IFERROR($I478*VLOOKUP($H478,食材表!$A:I,9,FALSE),0)+IFERROR($K476*VLOOKUP($J476,食材表!$A:I,9,FALSE),0)+IFERROR($K477*VLOOKUP($J477,食材表!$A:I,9,FALSE),0)+IFERROR($K478*VLOOKUP($J478,食材表!$A:I,9,FALSE),0)</f>
        <v>0</v>
      </c>
      <c r="S476" s="342">
        <f>SUM(L476*70+M476*75+N476*120+O476*25+P476*60+Q476*45+R476*4)</f>
        <v>0</v>
      </c>
    </row>
    <row r="477" spans="1:19">
      <c r="A477" s="33" t="str">
        <f>"2"&amp;+$B476</f>
        <v>2養生茶</v>
      </c>
      <c r="B477" s="369"/>
      <c r="C477" s="22"/>
      <c r="D477" s="36"/>
      <c r="E477" s="22"/>
      <c r="F477" s="36"/>
      <c r="G477" s="353"/>
      <c r="H477" s="93">
        <f t="shared" ref="H477:H478" si="332">C477</f>
        <v>0</v>
      </c>
      <c r="I477" s="86" t="str">
        <f>IFERROR(IF(LEN(D477)=LENB(D477),ROUND(LEFT(D477,2*LEN(D477)-LENB(D477))/$A$1,3),((ROUND(LEFT(D477,2*LEN(D477)-LENB(D477))/$A$1,3))*VLOOKUP(H477,食材表!$A:$B,2,FALSE))),"")</f>
        <v/>
      </c>
      <c r="J477" s="93">
        <f t="shared" ref="J477:J478" si="333">E477</f>
        <v>0</v>
      </c>
      <c r="K477" s="86" t="str">
        <f>IFERROR(IF(LEN(F477)=LENB(F477),ROUND(LEFT(F477,2*LEN(F477)-LENB(F477))/$A$1,3),((ROUND(LEFT(F477,2*LEN(F477)-LENB(F477))/$A$1,3))*VLOOKUP(J477,食材表!$A:$B,2,FALSE))),"")</f>
        <v/>
      </c>
      <c r="L477" s="343"/>
      <c r="M477" s="343"/>
      <c r="N477" s="343"/>
      <c r="O477" s="343"/>
      <c r="P477" s="343"/>
      <c r="Q477" s="343"/>
      <c r="R477" s="343"/>
      <c r="S477" s="343"/>
    </row>
    <row r="478" spans="1:19">
      <c r="A478" s="33" t="str">
        <f>"3"&amp;+$B476</f>
        <v>3養生茶</v>
      </c>
      <c r="B478" s="370"/>
      <c r="C478" s="26"/>
      <c r="D478" s="37"/>
      <c r="E478" s="26"/>
      <c r="F478" s="37"/>
      <c r="G478" s="354"/>
      <c r="H478" s="92">
        <f t="shared" si="332"/>
        <v>0</v>
      </c>
      <c r="I478" s="84" t="str">
        <f>IFERROR(IF(LEN(D478)=LENB(D478),ROUND(LEFT(D478,2*LEN(D478)-LENB(D478))/$A$1,3),((ROUND(LEFT(D478,2*LEN(D478)-LENB(D478))/$A$1,3))*VLOOKUP(H478,食材表!$A:$B,2,FALSE))),"")</f>
        <v/>
      </c>
      <c r="J478" s="92">
        <f t="shared" si="333"/>
        <v>0</v>
      </c>
      <c r="K478" s="85" t="str">
        <f>IFERROR(IF(LEN(F478)=LENB(F478),ROUND(LEFT(F478,2*LEN(F478)-LENB(F478))/$A$1,3),((ROUND(LEFT(F478,2*LEN(F478)-LENB(F478))/$A$1,3))*VLOOKUP(J478,食材表!$A:$B,2,FALSE))),"")</f>
        <v/>
      </c>
      <c r="L478" s="344"/>
      <c r="M478" s="344"/>
      <c r="N478" s="344"/>
      <c r="O478" s="344"/>
      <c r="P478" s="344"/>
      <c r="Q478" s="344"/>
      <c r="R478" s="344"/>
      <c r="S478" s="344"/>
    </row>
    <row r="479" spans="1:19">
      <c r="A479" s="33" t="str">
        <f>"1"&amp;+$B479</f>
        <v>1麥茶</v>
      </c>
      <c r="B479" s="368" t="s">
        <v>953</v>
      </c>
      <c r="C479" s="60" t="s">
        <v>416</v>
      </c>
      <c r="D479" s="22" t="s">
        <v>203</v>
      </c>
      <c r="E479" s="22"/>
      <c r="F479" s="59"/>
      <c r="G479" s="346" t="str">
        <f>B479</f>
        <v>麥茶</v>
      </c>
      <c r="H479" s="91" t="str">
        <f>C479</f>
        <v>麥茶包</v>
      </c>
      <c r="I479" s="83">
        <f>IFERROR(IF(LEN(D479)=LENB(D479),ROUND(LEFT(D479,2*LEN(D479)-LENB(D479))/$A$1,3),((ROUND(LEFT(D479,2*LEN(D479)-LENB(D479))/$A$1,3))*VLOOKUP(H479,食材表!$A:$B,2,FALSE))),"")</f>
        <v>6.0000000000000001E-3</v>
      </c>
      <c r="J479" s="91">
        <f>E479</f>
        <v>0</v>
      </c>
      <c r="K479" s="83" t="str">
        <f>IFERROR(IF(LEN(F479)=LENB(F479),ROUND(LEFT(F479,2*LEN(F479)-LENB(F479))/$A$1,3),((ROUND(LEFT(F479,2*LEN(F479)-LENB(F479))/$A$1,3))*VLOOKUP(J479,食材表!$A:$B,2,FALSE))),"")</f>
        <v/>
      </c>
      <c r="L479" s="342">
        <f>IFERROR($I479*VLOOKUP($H479,食材表!$A:C,3,FALSE),0)+IFERROR($I480*VLOOKUP($H480,食材表!$A:C,3,FALSE),0)+IFERROR($I481*VLOOKUP($H481,食材表!$A:C,3,FALSE),0)+IFERROR($K479*VLOOKUP($J479,食材表!$A:C,3,FALSE),0)+IFERROR($K480*VLOOKUP($J480,食材表!$A:C,3,FALSE),0)+IFERROR($K481*VLOOKUP($J481,食材表!$A:C,3,FALSE),0)</f>
        <v>0</v>
      </c>
      <c r="M479" s="342">
        <f>IFERROR($I479*VLOOKUP($H479,食材表!$A:D,4,FALSE),0)+IFERROR($I480*VLOOKUP($H480,食材表!$A:D,4,FALSE),0)+IFERROR($I481*VLOOKUP($H481,食材表!$A:D,4,FALSE),0)+IFERROR($K479*VLOOKUP($J479,食材表!$A:D,4,FALSE),0)+IFERROR($K480*VLOOKUP($J480,食材表!$A:D,4,FALSE),0)+IFERROR($K481*VLOOKUP($J481,食材表!$A:D,4,FALSE),0)</f>
        <v>0</v>
      </c>
      <c r="N479" s="342">
        <f>IFERROR($I479*VLOOKUP($H479,食材表!$A:E,5,FALSE),0)+IFERROR($I480*VLOOKUP($H480,食材表!$A:E,5,FALSE),0)+IFERROR($I481*VLOOKUP($H481,食材表!$A:E,5,FALSE),0)+IFERROR($K479*VLOOKUP($J479,食材表!$A:E,5,FALSE),0)+IFERROR($K480*VLOOKUP($J480,食材表!$A:E,5,FALSE),0)+IFERROR($K481*VLOOKUP($J481,食材表!$A:E,5,FALSE),0)</f>
        <v>0</v>
      </c>
      <c r="O479" s="342">
        <f>IFERROR($I479*VLOOKUP($H479,食材表!$A:F,6,FALSE),0)+IFERROR($I480*VLOOKUP($H480,食材表!$A:F,6,FALSE),0)+IFERROR($I481*VLOOKUP($H481,食材表!$A:F,6,FALSE),0)+IFERROR($K479*VLOOKUP($J479,食材表!$A:F,6,FALSE),0)+IFERROR($K480*VLOOKUP($J480,食材表!$A:F,6,FALSE),0)+IFERROR($K481*VLOOKUP($J481,食材表!$A:F,6,FALSE),0)</f>
        <v>0</v>
      </c>
      <c r="P479" s="342">
        <f>IFERROR($I479*VLOOKUP($H479,食材表!$A:G,7,FALSE),0)+IFERROR($I480*VLOOKUP($H480,食材表!$A:G,7,FALSE),0)+IFERROR($I481*VLOOKUP($H481,食材表!$A:G,7,FALSE),0)+IFERROR($K479*VLOOKUP($J479,食材表!$A:G,7,FALSE),0)+IFERROR($K480*VLOOKUP($J480,食材表!$A:G,7,FALSE),0)+IFERROR($K481*VLOOKUP($J481,食材表!$A:G,7,FALSE),0)</f>
        <v>0</v>
      </c>
      <c r="Q479" s="342">
        <f>IFERROR($I479*VLOOKUP($H479,食材表!$A:H,8,FALSE),0)+IFERROR($I480*VLOOKUP($H480,食材表!$A:H,8,FALSE),0)+IFERROR($I481*VLOOKUP($H481,食材表!$A:H,8,FALSE),0)+IFERROR($K479*VLOOKUP($J479,食材表!$A:H,8,FALSE),0)+IFERROR($K480*VLOOKUP($J480,食材表!$A:H,8,FALSE),0)+IFERROR($K481*VLOOKUP($J481,食材表!$A:H,8,FALSE),0)</f>
        <v>0</v>
      </c>
      <c r="R479" s="342">
        <f>IFERROR($I479*VLOOKUP($H479,食材表!$A:I,9,FALSE),0)+IFERROR($I480*VLOOKUP($H480,食材表!$A:I,9,FALSE),0)+IFERROR($I481*VLOOKUP($H481,食材表!$A:I,9,FALSE),0)+IFERROR($K479*VLOOKUP($J479,食材表!$A:I,9,FALSE),0)+IFERROR($K480*VLOOKUP($J480,食材表!$A:I,9,FALSE),0)+IFERROR($K481*VLOOKUP($J481,食材表!$A:I,9,FALSE),0)</f>
        <v>0</v>
      </c>
      <c r="S479" s="342">
        <f>SUM(L479*70+M479*75+N479*120+O479*25+P479*60+Q479*45+R479*4)</f>
        <v>0</v>
      </c>
    </row>
    <row r="480" spans="1:19">
      <c r="A480" s="33" t="str">
        <f>"2"&amp;+$B479</f>
        <v>2麥茶</v>
      </c>
      <c r="B480" s="369"/>
      <c r="C480" s="22"/>
      <c r="D480" s="36"/>
      <c r="E480" s="22"/>
      <c r="F480" s="36"/>
      <c r="G480" s="347"/>
      <c r="H480" s="93">
        <f t="shared" ref="H480:H481" si="334">C480</f>
        <v>0</v>
      </c>
      <c r="I480" s="86" t="str">
        <f>IFERROR(IF(LEN(D480)=LENB(D480),ROUND(LEFT(D480,2*LEN(D480)-LENB(D480))/$A$1,3),((ROUND(LEFT(D480,2*LEN(D480)-LENB(D480))/$A$1,3))*VLOOKUP(H480,食材表!$A:$B,2,FALSE))),"")</f>
        <v/>
      </c>
      <c r="J480" s="93">
        <f t="shared" ref="J480:J481" si="335">E480</f>
        <v>0</v>
      </c>
      <c r="K480" s="86" t="str">
        <f>IFERROR(IF(LEN(F480)=LENB(F480),ROUND(LEFT(F480,2*LEN(F480)-LENB(F480))/$A$1,3),((ROUND(LEFT(F480,2*LEN(F480)-LENB(F480))/$A$1,3))*VLOOKUP(J480,食材表!$A:$B,2,FALSE))),"")</f>
        <v/>
      </c>
      <c r="L480" s="343"/>
      <c r="M480" s="343"/>
      <c r="N480" s="343"/>
      <c r="O480" s="343"/>
      <c r="P480" s="343"/>
      <c r="Q480" s="343"/>
      <c r="R480" s="343"/>
      <c r="S480" s="343"/>
    </row>
    <row r="481" spans="1:19">
      <c r="A481" s="33" t="str">
        <f>"3"&amp;+$B479</f>
        <v>3麥茶</v>
      </c>
      <c r="B481" s="370"/>
      <c r="C481" s="26"/>
      <c r="D481" s="37"/>
      <c r="E481" s="26"/>
      <c r="F481" s="37"/>
      <c r="G481" s="348"/>
      <c r="H481" s="92">
        <f t="shared" si="334"/>
        <v>0</v>
      </c>
      <c r="I481" s="84" t="str">
        <f>IFERROR(IF(LEN(D481)=LENB(D481),ROUND(LEFT(D481,2*LEN(D481)-LENB(D481))/$A$1,3),((ROUND(LEFT(D481,2*LEN(D481)-LENB(D481))/$A$1,3))*VLOOKUP(H481,食材表!$A:$B,2,FALSE))),"")</f>
        <v/>
      </c>
      <c r="J481" s="92">
        <f t="shared" si="335"/>
        <v>0</v>
      </c>
      <c r="K481" s="85" t="str">
        <f>IFERROR(IF(LEN(F481)=LENB(F481),ROUND(LEFT(F481,2*LEN(F481)-LENB(F481))/$A$1,3),((ROUND(LEFT(F481,2*LEN(F481)-LENB(F481))/$A$1,3))*VLOOKUP(J481,食材表!$A:$B,2,FALSE))),"")</f>
        <v/>
      </c>
      <c r="L481" s="344"/>
      <c r="M481" s="344"/>
      <c r="N481" s="344"/>
      <c r="O481" s="344"/>
      <c r="P481" s="344"/>
      <c r="Q481" s="344"/>
      <c r="R481" s="344"/>
      <c r="S481" s="344"/>
    </row>
    <row r="482" spans="1:19">
      <c r="A482" s="33" t="str">
        <f>"1"&amp;+$B482</f>
        <v>1決明子茶</v>
      </c>
      <c r="B482" s="368" t="s">
        <v>1026</v>
      </c>
      <c r="C482" s="60" t="s">
        <v>1026</v>
      </c>
      <c r="D482" s="36" t="s">
        <v>203</v>
      </c>
      <c r="E482" s="22"/>
      <c r="F482" s="59"/>
      <c r="G482" s="352" t="str">
        <f>B482</f>
        <v>決明子茶</v>
      </c>
      <c r="H482" s="91" t="str">
        <f>C482</f>
        <v>決明子茶</v>
      </c>
      <c r="I482" s="83" t="str">
        <f>IFERROR(IF(LEN(D482)=LENB(D482),ROUND(LEFT(D482,2*LEN(D482)-LENB(D482))/$A$1,3),((ROUND(LEFT(D482,2*LEN(D482)-LENB(D482))/$A$1,3))*VLOOKUP(H482,食材表!$A:$B,2,FALSE))),"")</f>
        <v/>
      </c>
      <c r="J482" s="91">
        <f>E482</f>
        <v>0</v>
      </c>
      <c r="K482" s="83" t="str">
        <f>IFERROR(IF(LEN(F482)=LENB(F482),ROUND(LEFT(F482,2*LEN(F482)-LENB(F482))/$A$1,3),((ROUND(LEFT(F482,2*LEN(F482)-LENB(F482))/$A$1,3))*VLOOKUP(J482,食材表!$A:$B,2,FALSE))),"")</f>
        <v/>
      </c>
      <c r="L482" s="342">
        <f>IFERROR($I482*VLOOKUP($H482,食材表!$A:C,3,FALSE),0)+IFERROR($I483*VLOOKUP($H483,食材表!$A:C,3,FALSE),0)+IFERROR($I484*VLOOKUP($H484,食材表!$A:C,3,FALSE),0)+IFERROR($K482*VLOOKUP($J482,食材表!$A:C,3,FALSE),0)+IFERROR($K483*VLOOKUP($J483,食材表!$A:C,3,FALSE),0)+IFERROR($K484*VLOOKUP($J484,食材表!$A:C,3,FALSE),0)</f>
        <v>0</v>
      </c>
      <c r="M482" s="342">
        <f>IFERROR($I482*VLOOKUP($H482,食材表!$A:D,4,FALSE),0)+IFERROR($I483*VLOOKUP($H483,食材表!$A:D,4,FALSE),0)+IFERROR($I484*VLOOKUP($H484,食材表!$A:D,4,FALSE),0)+IFERROR($K482*VLOOKUP($J482,食材表!$A:D,4,FALSE),0)+IFERROR($K483*VLOOKUP($J483,食材表!$A:D,4,FALSE),0)+IFERROR($K484*VLOOKUP($J484,食材表!$A:D,4,FALSE),0)</f>
        <v>0</v>
      </c>
      <c r="N482" s="342">
        <f>IFERROR($I482*VLOOKUP($H482,食材表!$A:E,5,FALSE),0)+IFERROR($I483*VLOOKUP($H483,食材表!$A:E,5,FALSE),0)+IFERROR($I484*VLOOKUP($H484,食材表!$A:E,5,FALSE),0)+IFERROR($K482*VLOOKUP($J482,食材表!$A:E,5,FALSE),0)+IFERROR($K483*VLOOKUP($J483,食材表!$A:E,5,FALSE),0)+IFERROR($K484*VLOOKUP($J484,食材表!$A:E,5,FALSE),0)</f>
        <v>0</v>
      </c>
      <c r="O482" s="342">
        <f>IFERROR($I482*VLOOKUP($H482,食材表!$A:F,6,FALSE),0)+IFERROR($I483*VLOOKUP($H483,食材表!$A:F,6,FALSE),0)+IFERROR($I484*VLOOKUP($H484,食材表!$A:F,6,FALSE),0)+IFERROR($K482*VLOOKUP($J482,食材表!$A:F,6,FALSE),0)+IFERROR($K483*VLOOKUP($J483,食材表!$A:F,6,FALSE),0)+IFERROR($K484*VLOOKUP($J484,食材表!$A:F,6,FALSE),0)</f>
        <v>0</v>
      </c>
      <c r="P482" s="342">
        <f>IFERROR($I482*VLOOKUP($H482,食材表!$A:G,7,FALSE),0)+IFERROR($I483*VLOOKUP($H483,食材表!$A:G,7,FALSE),0)+IFERROR($I484*VLOOKUP($H484,食材表!$A:G,7,FALSE),0)+IFERROR($K482*VLOOKUP($J482,食材表!$A:G,7,FALSE),0)+IFERROR($K483*VLOOKUP($J483,食材表!$A:G,7,FALSE),0)+IFERROR($K484*VLOOKUP($J484,食材表!$A:G,7,FALSE),0)</f>
        <v>0</v>
      </c>
      <c r="Q482" s="342">
        <f>IFERROR($I482*VLOOKUP($H482,食材表!$A:H,8,FALSE),0)+IFERROR($I483*VLOOKUP($H483,食材表!$A:H,8,FALSE),0)+IFERROR($I484*VLOOKUP($H484,食材表!$A:H,8,FALSE),0)+IFERROR($K482*VLOOKUP($J482,食材表!$A:H,8,FALSE),0)+IFERROR($K483*VLOOKUP($J483,食材表!$A:H,8,FALSE),0)+IFERROR($K484*VLOOKUP($J484,食材表!$A:H,8,FALSE),0)</f>
        <v>0</v>
      </c>
      <c r="R482" s="342">
        <f>IFERROR($I482*VLOOKUP($H482,食材表!$A:I,9,FALSE),0)+IFERROR($I483*VLOOKUP($H483,食材表!$A:I,9,FALSE),0)+IFERROR($I484*VLOOKUP($H484,食材表!$A:I,9,FALSE),0)+IFERROR($K482*VLOOKUP($J482,食材表!$A:I,9,FALSE),0)+IFERROR($K483*VLOOKUP($J483,食材表!$A:I,9,FALSE),0)+IFERROR($K484*VLOOKUP($J484,食材表!$A:I,9,FALSE),0)</f>
        <v>0</v>
      </c>
      <c r="S482" s="342">
        <f>SUM(L482*70+M482*75+N482*120+O482*25+P482*60+Q482*45+R482*4)</f>
        <v>0</v>
      </c>
    </row>
    <row r="483" spans="1:19">
      <c r="A483" s="33" t="str">
        <f>"2"&amp;+$B482</f>
        <v>2決明子茶</v>
      </c>
      <c r="B483" s="369"/>
      <c r="C483" s="22"/>
      <c r="D483" s="36"/>
      <c r="E483" s="22"/>
      <c r="F483" s="36"/>
      <c r="G483" s="353"/>
      <c r="H483" s="93">
        <f t="shared" ref="H483:H484" si="336">C483</f>
        <v>0</v>
      </c>
      <c r="I483" s="86" t="str">
        <f>IFERROR(IF(LEN(D483)=LENB(D483),ROUND(LEFT(D483,2*LEN(D483)-LENB(D483))/$A$1,3),((ROUND(LEFT(D483,2*LEN(D483)-LENB(D483))/$A$1,3))*VLOOKUP(H483,食材表!$A:$B,2,FALSE))),"")</f>
        <v/>
      </c>
      <c r="J483" s="93">
        <f t="shared" ref="J483:J484" si="337">E483</f>
        <v>0</v>
      </c>
      <c r="K483" s="86" t="str">
        <f>IFERROR(IF(LEN(F483)=LENB(F483),ROUND(LEFT(F483,2*LEN(F483)-LENB(F483))/$A$1,3),((ROUND(LEFT(F483,2*LEN(F483)-LENB(F483))/$A$1,3))*VLOOKUP(J483,食材表!$A:$B,2,FALSE))),"")</f>
        <v/>
      </c>
      <c r="L483" s="343"/>
      <c r="M483" s="343"/>
      <c r="N483" s="343"/>
      <c r="O483" s="343"/>
      <c r="P483" s="343"/>
      <c r="Q483" s="343"/>
      <c r="R483" s="343"/>
      <c r="S483" s="343"/>
    </row>
    <row r="484" spans="1:19">
      <c r="A484" s="33" t="str">
        <f>"3"&amp;+$B482</f>
        <v>3決明子茶</v>
      </c>
      <c r="B484" s="370"/>
      <c r="C484" s="26"/>
      <c r="D484" s="37"/>
      <c r="E484" s="26"/>
      <c r="F484" s="37"/>
      <c r="G484" s="354"/>
      <c r="H484" s="92">
        <f t="shared" si="336"/>
        <v>0</v>
      </c>
      <c r="I484" s="84" t="str">
        <f>IFERROR(IF(LEN(D484)=LENB(D484),ROUND(LEFT(D484,2*LEN(D484)-LENB(D484))/$A$1,3),((ROUND(LEFT(D484,2*LEN(D484)-LENB(D484))/$A$1,3))*VLOOKUP(H484,食材表!$A:$B,2,FALSE))),"")</f>
        <v/>
      </c>
      <c r="J484" s="92">
        <f t="shared" si="337"/>
        <v>0</v>
      </c>
      <c r="K484" s="85" t="str">
        <f>IFERROR(IF(LEN(F484)=LENB(F484),ROUND(LEFT(F484,2*LEN(F484)-LENB(F484))/$A$1,3),((ROUND(LEFT(F484,2*LEN(F484)-LENB(F484))/$A$1,3))*VLOOKUP(J484,食材表!$A:$B,2,FALSE))),"")</f>
        <v/>
      </c>
      <c r="L484" s="344"/>
      <c r="M484" s="344"/>
      <c r="N484" s="344"/>
      <c r="O484" s="344"/>
      <c r="P484" s="344"/>
      <c r="Q484" s="344"/>
      <c r="R484" s="344"/>
      <c r="S484" s="344"/>
    </row>
    <row r="485" spans="1:19">
      <c r="A485" s="33" t="str">
        <f>"1"&amp;+$B485</f>
        <v>1紅棗枸杞茶</v>
      </c>
      <c r="B485" s="368" t="s">
        <v>141</v>
      </c>
      <c r="C485" s="90" t="s">
        <v>123</v>
      </c>
      <c r="D485" s="59">
        <v>0.1</v>
      </c>
      <c r="E485" s="60"/>
      <c r="F485" s="59"/>
      <c r="G485" s="384" t="str">
        <f>B485</f>
        <v>紅棗枸杞茶</v>
      </c>
      <c r="H485" s="91" t="str">
        <f>C485</f>
        <v>紅棗</v>
      </c>
      <c r="I485" s="83">
        <f>IFERROR(IF(LEN(D485)=LENB(D485),ROUND(LEFT(D485,2*LEN(D485)-LENB(D485))/$A$1,3),((ROUND(LEFT(D485,2*LEN(D485)-LENB(D485))/$A$1,3))*VLOOKUP(H485,食材表!$A:$B,2,FALSE))),"")</f>
        <v>2E-3</v>
      </c>
      <c r="J485" s="91">
        <f>E485</f>
        <v>0</v>
      </c>
      <c r="K485" s="83" t="str">
        <f>IFERROR(IF(LEN(F485)=LENB(F485),ROUND(LEFT(F485,2*LEN(F485)-LENB(F485))/$A$1,3),((ROUND(LEFT(F485,2*LEN(F485)-LENB(F485))/$A$1,3))*VLOOKUP(J485,食材表!$A:$B,2,FALSE))),"")</f>
        <v/>
      </c>
      <c r="L485" s="342">
        <f>IFERROR($I485*VLOOKUP($H485,食材表!$A:C,3,FALSE),0)+IFERROR($I486*VLOOKUP($H486,食材表!$A:C,3,FALSE),0)+IFERROR($I487*VLOOKUP($H487,食材表!$A:C,3,FALSE),0)+IFERROR($K485*VLOOKUP($J485,食材表!$A:C,3,FALSE),0)+IFERROR($K486*VLOOKUP($J486,食材表!$A:C,3,FALSE),0)+IFERROR($K487*VLOOKUP($J487,食材表!$A:C,3,FALSE),0)</f>
        <v>0</v>
      </c>
      <c r="M485" s="342">
        <f>IFERROR($I485*VLOOKUP($H485,食材表!$A:D,4,FALSE),0)+IFERROR($I486*VLOOKUP($H486,食材表!$A:D,4,FALSE),0)+IFERROR($I487*VLOOKUP($H487,食材表!$A:D,4,FALSE),0)+IFERROR($K485*VLOOKUP($J485,食材表!$A:D,4,FALSE),0)+IFERROR($K486*VLOOKUP($J486,食材表!$A:D,4,FALSE),0)+IFERROR($K487*VLOOKUP($J487,食材表!$A:D,4,FALSE),0)</f>
        <v>0</v>
      </c>
      <c r="N485" s="342">
        <f>IFERROR($I485*VLOOKUP($H485,食材表!$A:E,5,FALSE),0)+IFERROR($I486*VLOOKUP($H486,食材表!$A:E,5,FALSE),0)+IFERROR($I487*VLOOKUP($H487,食材表!$A:E,5,FALSE),0)+IFERROR($K485*VLOOKUP($J485,食材表!$A:E,5,FALSE),0)+IFERROR($K486*VLOOKUP($J486,食材表!$A:E,5,FALSE),0)+IFERROR($K487*VLOOKUP($J487,食材表!$A:E,5,FALSE),0)</f>
        <v>0</v>
      </c>
      <c r="O485" s="342">
        <f>IFERROR($I485*VLOOKUP($H485,食材表!$A:F,6,FALSE),0)+IFERROR($I486*VLOOKUP($H486,食材表!$A:F,6,FALSE),0)+IFERROR($I487*VLOOKUP($H487,食材表!$A:F,6,FALSE),0)+IFERROR($K485*VLOOKUP($J485,食材表!$A:F,6,FALSE),0)+IFERROR($K486*VLOOKUP($J486,食材表!$A:F,6,FALSE),0)+IFERROR($K487*VLOOKUP($J487,食材表!$A:F,6,FALSE),0)</f>
        <v>0</v>
      </c>
      <c r="P485" s="342">
        <f>IFERROR($I485*VLOOKUP($H485,食材表!$A:G,7,FALSE),0)+IFERROR($I486*VLOOKUP($H486,食材表!$A:G,7,FALSE),0)+IFERROR($I487*VLOOKUP($H487,食材表!$A:G,7,FALSE),0)+IFERROR($K485*VLOOKUP($J485,食材表!$A:G,7,FALSE),0)+IFERROR($K486*VLOOKUP($J486,食材表!$A:G,7,FALSE),0)+IFERROR($K487*VLOOKUP($J487,食材表!$A:G,7,FALSE),0)</f>
        <v>0</v>
      </c>
      <c r="Q485" s="342">
        <f>IFERROR($I485*VLOOKUP($H485,食材表!$A:H,8,FALSE),0)+IFERROR($I486*VLOOKUP($H486,食材表!$A:H,8,FALSE),0)+IFERROR($I487*VLOOKUP($H487,食材表!$A:H,8,FALSE),0)+IFERROR($K485*VLOOKUP($J485,食材表!$A:H,8,FALSE),0)+IFERROR($K486*VLOOKUP($J486,食材表!$A:H,8,FALSE),0)+IFERROR($K487*VLOOKUP($J487,食材表!$A:H,8,FALSE),0)</f>
        <v>0</v>
      </c>
      <c r="R485" s="342">
        <f>IFERROR($I485*VLOOKUP($H485,食材表!$A:I,9,FALSE),0)+IFERROR($I486*VLOOKUP($H486,食材表!$A:I,9,FALSE),0)+IFERROR($I487*VLOOKUP($H487,食材表!$A:I,9,FALSE),0)+IFERROR($K485*VLOOKUP($J485,食材表!$A:I,9,FALSE),0)+IFERROR($K486*VLOOKUP($J486,食材表!$A:I,9,FALSE),0)+IFERROR($K487*VLOOKUP($J487,食材表!$A:I,9,FALSE),0)</f>
        <v>0</v>
      </c>
      <c r="S485" s="342">
        <f>SUM(L485*70+M485*75+N485*120+O485*25+P485*60+Q485*45+R485*4)</f>
        <v>0</v>
      </c>
    </row>
    <row r="486" spans="1:19">
      <c r="A486" s="33" t="str">
        <f>"2"&amp;+$B485</f>
        <v>2紅棗枸杞茶</v>
      </c>
      <c r="B486" s="369"/>
      <c r="C486" s="22" t="s">
        <v>124</v>
      </c>
      <c r="D486" s="36">
        <v>0.1</v>
      </c>
      <c r="E486" s="22"/>
      <c r="F486" s="36"/>
      <c r="G486" s="347"/>
      <c r="H486" s="93" t="str">
        <f t="shared" ref="H486:H487" si="338">C486</f>
        <v>枸杞</v>
      </c>
      <c r="I486" s="86">
        <f>IFERROR(IF(LEN(D486)=LENB(D486),ROUND(LEFT(D486,2*LEN(D486)-LENB(D486))/$A$1,3),((ROUND(LEFT(D486,2*LEN(D486)-LENB(D486))/$A$1,3))*VLOOKUP(H486,食材表!$A:$B,2,FALSE))),"")</f>
        <v>2E-3</v>
      </c>
      <c r="J486" s="93">
        <f t="shared" ref="J486:J487" si="339">E486</f>
        <v>0</v>
      </c>
      <c r="K486" s="86" t="str">
        <f>IFERROR(IF(LEN(F486)=LENB(F486),ROUND(LEFT(F486,2*LEN(F486)-LENB(F486))/$A$1,3),((ROUND(LEFT(F486,2*LEN(F486)-LENB(F486))/$A$1,3))*VLOOKUP(J486,食材表!$A:$B,2,FALSE))),"")</f>
        <v/>
      </c>
      <c r="L486" s="343"/>
      <c r="M486" s="343"/>
      <c r="N486" s="343"/>
      <c r="O486" s="343"/>
      <c r="P486" s="343"/>
      <c r="Q486" s="343"/>
      <c r="R486" s="343"/>
      <c r="S486" s="343"/>
    </row>
    <row r="487" spans="1:19">
      <c r="A487" s="33" t="str">
        <f>"3"&amp;+$B485</f>
        <v>3紅棗枸杞茶</v>
      </c>
      <c r="B487" s="370"/>
      <c r="C487" s="26"/>
      <c r="D487" s="37"/>
      <c r="E487" s="26"/>
      <c r="F487" s="37"/>
      <c r="G487" s="348"/>
      <c r="H487" s="92">
        <f t="shared" si="338"/>
        <v>0</v>
      </c>
      <c r="I487" s="84" t="str">
        <f>IFERROR(IF(LEN(D487)=LENB(D487),ROUND(LEFT(D487,2*LEN(D487)-LENB(D487))/$A$1,3),((ROUND(LEFT(D487,2*LEN(D487)-LENB(D487))/$A$1,3))*VLOOKUP(H487,食材表!$A:$B,2,FALSE))),"")</f>
        <v/>
      </c>
      <c r="J487" s="92">
        <f t="shared" si="339"/>
        <v>0</v>
      </c>
      <c r="K487" s="85" t="str">
        <f>IFERROR(IF(LEN(F487)=LENB(F487),ROUND(LEFT(F487,2*LEN(F487)-LENB(F487))/$A$1,3),((ROUND(LEFT(F487,2*LEN(F487)-LENB(F487))/$A$1,3))*VLOOKUP(J487,食材表!$A:$B,2,FALSE))),"")</f>
        <v/>
      </c>
      <c r="L487" s="344"/>
      <c r="M487" s="344"/>
      <c r="N487" s="344"/>
      <c r="O487" s="344"/>
      <c r="P487" s="344"/>
      <c r="Q487" s="344"/>
      <c r="R487" s="344"/>
      <c r="S487" s="344"/>
    </row>
    <row r="488" spans="1:19">
      <c r="A488" s="33" t="str">
        <f>"1"&amp;+$B488</f>
        <v>1洛神花茶</v>
      </c>
      <c r="B488" s="355" t="s">
        <v>1039</v>
      </c>
      <c r="C488" s="152" t="s">
        <v>1040</v>
      </c>
      <c r="D488" s="74" t="s">
        <v>203</v>
      </c>
      <c r="E488" s="60"/>
      <c r="F488" s="59"/>
      <c r="G488" s="352" t="str">
        <f>B488</f>
        <v>洛神花茶</v>
      </c>
      <c r="H488" s="91" t="str">
        <f>C488</f>
        <v>洛神花茶包</v>
      </c>
      <c r="I488" s="83" t="str">
        <f>IFERROR(IF(LEN(D488)=LENB(D488),ROUND(LEFT(D488,2*LEN(D488)-LENB(D488))/$A$1,3),((ROUND(LEFT(D488,2*LEN(D488)-LENB(D488))/$A$1,3))*VLOOKUP(H488,食材表!$A:$B,2,FALSE))),"")</f>
        <v/>
      </c>
      <c r="J488" s="91">
        <f>E488</f>
        <v>0</v>
      </c>
      <c r="K488" s="83" t="str">
        <f>IFERROR(IF(LEN(F488)=LENB(F488),ROUND(LEFT(F488,2*LEN(F488)-LENB(F488))/$A$1,3),((ROUND(LEFT(F488,2*LEN(F488)-LENB(F488))/$A$1,3))*VLOOKUP(J488,食材表!$A:$B,2,FALSE))),"")</f>
        <v/>
      </c>
      <c r="L488" s="342">
        <f>IFERROR($I488*VLOOKUP($H488,食材表!$A:C,3,FALSE),0)+IFERROR($I489*VLOOKUP($H489,食材表!$A:C,3,FALSE),0)+IFERROR($I490*VLOOKUP($H490,食材表!$A:C,3,FALSE),0)+IFERROR($K488*VLOOKUP($J488,食材表!$A:C,3,FALSE),0)+IFERROR($K489*VLOOKUP($J489,食材表!$A:C,3,FALSE),0)+IFERROR($K490*VLOOKUP($J490,食材表!$A:C,3,FALSE),0)</f>
        <v>0</v>
      </c>
      <c r="M488" s="342">
        <f>IFERROR($I488*VLOOKUP($H488,食材表!$A:D,4,FALSE),0)+IFERROR($I489*VLOOKUP($H489,食材表!$A:D,4,FALSE),0)+IFERROR($I490*VLOOKUP($H490,食材表!$A:D,4,FALSE),0)+IFERROR($K488*VLOOKUP($J488,食材表!$A:D,4,FALSE),0)+IFERROR($K489*VLOOKUP($J489,食材表!$A:D,4,FALSE),0)+IFERROR($K490*VLOOKUP($J490,食材表!$A:D,4,FALSE),0)</f>
        <v>0</v>
      </c>
      <c r="N488" s="342">
        <f>IFERROR($I488*VLOOKUP($H488,食材表!$A:E,5,FALSE),0)+IFERROR($I489*VLOOKUP($H489,食材表!$A:E,5,FALSE),0)+IFERROR($I490*VLOOKUP($H490,食材表!$A:E,5,FALSE),0)+IFERROR($K488*VLOOKUP($J488,食材表!$A:E,5,FALSE),0)+IFERROR($K489*VLOOKUP($J489,食材表!$A:E,5,FALSE),0)+IFERROR($K490*VLOOKUP($J490,食材表!$A:E,5,FALSE),0)</f>
        <v>0</v>
      </c>
      <c r="O488" s="342">
        <f>IFERROR($I488*VLOOKUP($H488,食材表!$A:F,6,FALSE),0)+IFERROR($I489*VLOOKUP($H489,食材表!$A:F,6,FALSE),0)+IFERROR($I490*VLOOKUP($H490,食材表!$A:F,6,FALSE),0)+IFERROR($K488*VLOOKUP($J488,食材表!$A:F,6,FALSE),0)+IFERROR($K489*VLOOKUP($J489,食材表!$A:F,6,FALSE),0)+IFERROR($K490*VLOOKUP($J490,食材表!$A:F,6,FALSE),0)</f>
        <v>0</v>
      </c>
      <c r="P488" s="342">
        <f>IFERROR($I488*VLOOKUP($H488,食材表!$A:G,7,FALSE),0)+IFERROR($I489*VLOOKUP($H489,食材表!$A:G,7,FALSE),0)+IFERROR($I490*VLOOKUP($H490,食材表!$A:G,7,FALSE),0)+IFERROR($K488*VLOOKUP($J488,食材表!$A:G,7,FALSE),0)+IFERROR($K489*VLOOKUP($J489,食材表!$A:G,7,FALSE),0)+IFERROR($K490*VLOOKUP($J490,食材表!$A:G,7,FALSE),0)</f>
        <v>0</v>
      </c>
      <c r="Q488" s="342">
        <f>IFERROR($I488*VLOOKUP($H488,食材表!$A:H,8,FALSE),0)+IFERROR($I489*VLOOKUP($H489,食材表!$A:H,8,FALSE),0)+IFERROR($I490*VLOOKUP($H490,食材表!$A:H,8,FALSE),0)+IFERROR($K488*VLOOKUP($J488,食材表!$A:H,8,FALSE),0)+IFERROR($K489*VLOOKUP($J489,食材表!$A:H,8,FALSE),0)+IFERROR($K490*VLOOKUP($J490,食材表!$A:H,8,FALSE),0)</f>
        <v>0</v>
      </c>
      <c r="R488" s="342">
        <f>IFERROR($I488*VLOOKUP($H488,食材表!$A:I,9,FALSE),0)+IFERROR($I489*VLOOKUP($H489,食材表!$A:I,9,FALSE),0)+IFERROR($I490*VLOOKUP($H490,食材表!$A:I,9,FALSE),0)+IFERROR($K488*VLOOKUP($J488,食材表!$A:I,9,FALSE),0)+IFERROR($K489*VLOOKUP($J489,食材表!$A:I,9,FALSE),0)+IFERROR($K490*VLOOKUP($J490,食材表!$A:I,9,FALSE),0)</f>
        <v>0</v>
      </c>
      <c r="S488" s="342">
        <f>SUM(L488*70+M488*75+N488*120+O488*25+P488*60+Q488*45+R488*4)</f>
        <v>0</v>
      </c>
    </row>
    <row r="489" spans="1:19">
      <c r="A489" s="33" t="str">
        <f>"2"&amp;+$B488</f>
        <v>2洛神花茶</v>
      </c>
      <c r="B489" s="356"/>
      <c r="C489" s="31"/>
      <c r="D489" s="33"/>
      <c r="E489" s="38"/>
      <c r="F489" s="36"/>
      <c r="G489" s="353"/>
      <c r="H489" s="93">
        <f t="shared" ref="H489:H490" si="340">C489</f>
        <v>0</v>
      </c>
      <c r="I489" s="86" t="str">
        <f>IFERROR(IF(LEN(D489)=LENB(D489),ROUND(LEFT(D489,2*LEN(D489)-LENB(D489))/$A$1,3),((ROUND(LEFT(D489,2*LEN(D489)-LENB(D489))/$A$1,3))*VLOOKUP(H489,食材表!$A:$B,2,FALSE))),"")</f>
        <v/>
      </c>
      <c r="J489" s="93">
        <f t="shared" ref="J489:J490" si="341">E489</f>
        <v>0</v>
      </c>
      <c r="K489" s="86" t="str">
        <f>IFERROR(IF(LEN(F489)=LENB(F489),ROUND(LEFT(F489,2*LEN(F489)-LENB(F489))/$A$1,3),((ROUND(LEFT(F489,2*LEN(F489)-LENB(F489))/$A$1,3))*VLOOKUP(J489,食材表!$A:$B,2,FALSE))),"")</f>
        <v/>
      </c>
      <c r="L489" s="343"/>
      <c r="M489" s="343"/>
      <c r="N489" s="343"/>
      <c r="O489" s="343"/>
      <c r="P489" s="343"/>
      <c r="Q489" s="343"/>
      <c r="R489" s="343"/>
      <c r="S489" s="343"/>
    </row>
    <row r="490" spans="1:19">
      <c r="A490" s="33" t="str">
        <f>"3"&amp;+$B488</f>
        <v>3洛神花茶</v>
      </c>
      <c r="B490" s="357"/>
      <c r="C490" s="29"/>
      <c r="D490" s="8"/>
      <c r="E490" s="25"/>
      <c r="F490" s="37"/>
      <c r="G490" s="354"/>
      <c r="H490" s="92">
        <f t="shared" si="340"/>
        <v>0</v>
      </c>
      <c r="I490" s="84" t="str">
        <f>IFERROR(IF(LEN(D490)=LENB(D490),ROUND(LEFT(D490,2*LEN(D490)-LENB(D490))/$A$1,3),((ROUND(LEFT(D490,2*LEN(D490)-LENB(D490))/$A$1,3))*VLOOKUP(H490,食材表!$A:$B,2,FALSE))),"")</f>
        <v/>
      </c>
      <c r="J490" s="92">
        <f t="shared" si="341"/>
        <v>0</v>
      </c>
      <c r="K490" s="85" t="str">
        <f>IFERROR(IF(LEN(F490)=LENB(F490),ROUND(LEFT(F490,2*LEN(F490)-LENB(F490))/$A$1,3),((ROUND(LEFT(F490,2*LEN(F490)-LENB(F490))/$A$1,3))*VLOOKUP(J490,食材表!$A:$B,2,FALSE))),"")</f>
        <v/>
      </c>
      <c r="L490" s="344"/>
      <c r="M490" s="344"/>
      <c r="N490" s="344"/>
      <c r="O490" s="344"/>
      <c r="P490" s="344"/>
      <c r="Q490" s="344"/>
      <c r="R490" s="344"/>
      <c r="S490" s="344"/>
    </row>
    <row r="491" spans="1:19">
      <c r="A491" s="33" t="str">
        <f>"1"&amp;+$B491</f>
        <v>1黑豆茶</v>
      </c>
      <c r="B491" s="349" t="s">
        <v>1011</v>
      </c>
      <c r="C491" s="38" t="s">
        <v>376</v>
      </c>
      <c r="D491" s="60" t="s">
        <v>203</v>
      </c>
      <c r="E491" s="22"/>
      <c r="F491" s="59"/>
      <c r="G491" s="352" t="str">
        <f>B491</f>
        <v>黑豆茶</v>
      </c>
      <c r="H491" s="91" t="str">
        <f>C491</f>
        <v>黑豆茶包</v>
      </c>
      <c r="I491" s="83">
        <f>IFERROR(IF(LEN(D491)=LENB(D491),ROUND(LEFT(D491,2*LEN(D491)-LENB(D491))/$A$1,3),((ROUND(LEFT(D491,2*LEN(D491)-LENB(D491))/$A$1,3))*VLOOKUP(H491,食材表!$A:$B,2,FALSE))),"")</f>
        <v>6.0000000000000001E-3</v>
      </c>
      <c r="J491" s="91">
        <f>E491</f>
        <v>0</v>
      </c>
      <c r="K491" s="83" t="str">
        <f>IFERROR(IF(LEN(F491)=LENB(F491),ROUND(LEFT(F491,2*LEN(F491)-LENB(F491))/$A$1,3),((ROUND(LEFT(F491,2*LEN(F491)-LENB(F491))/$A$1,3))*VLOOKUP(J491,食材表!$A:$B,2,FALSE))),"")</f>
        <v/>
      </c>
      <c r="L491" s="342">
        <f>IFERROR($I491*VLOOKUP($H491,食材表!$A:C,3,FALSE),0)+IFERROR($I492*VLOOKUP($H492,食材表!$A:C,3,FALSE),0)+IFERROR($I493*VLOOKUP($H493,食材表!$A:C,3,FALSE),0)+IFERROR($K491*VLOOKUP($J491,食材表!$A:C,3,FALSE),0)+IFERROR($K492*VLOOKUP($J492,食材表!$A:C,3,FALSE),0)+IFERROR($K493*VLOOKUP($J493,食材表!$A:C,3,FALSE),0)</f>
        <v>0</v>
      </c>
      <c r="M491" s="342">
        <f>IFERROR($I491*VLOOKUP($H491,食材表!$A:D,4,FALSE),0)+IFERROR($I492*VLOOKUP($H492,食材表!$A:D,4,FALSE),0)+IFERROR($I493*VLOOKUP($H493,食材表!$A:D,4,FALSE),0)+IFERROR($K491*VLOOKUP($J491,食材表!$A:D,4,FALSE),0)+IFERROR($K492*VLOOKUP($J492,食材表!$A:D,4,FALSE),0)+IFERROR($K493*VLOOKUP($J493,食材表!$A:D,4,FALSE),0)</f>
        <v>0</v>
      </c>
      <c r="N491" s="342">
        <f>IFERROR($I491*VLOOKUP($H491,食材表!$A:E,5,FALSE),0)+IFERROR($I492*VLOOKUP($H492,食材表!$A:E,5,FALSE),0)+IFERROR($I493*VLOOKUP($H493,食材表!$A:E,5,FALSE),0)+IFERROR($K491*VLOOKUP($J491,食材表!$A:E,5,FALSE),0)+IFERROR($K492*VLOOKUP($J492,食材表!$A:E,5,FALSE),0)+IFERROR($K493*VLOOKUP($J493,食材表!$A:E,5,FALSE),0)</f>
        <v>0</v>
      </c>
      <c r="O491" s="342">
        <f>IFERROR($I491*VLOOKUP($H491,食材表!$A:F,6,FALSE),0)+IFERROR($I492*VLOOKUP($H492,食材表!$A:F,6,FALSE),0)+IFERROR($I493*VLOOKUP($H493,食材表!$A:F,6,FALSE),0)+IFERROR($K491*VLOOKUP($J491,食材表!$A:F,6,FALSE),0)+IFERROR($K492*VLOOKUP($J492,食材表!$A:F,6,FALSE),0)+IFERROR($K493*VLOOKUP($J493,食材表!$A:F,6,FALSE),0)</f>
        <v>0</v>
      </c>
      <c r="P491" s="342">
        <f>IFERROR($I491*VLOOKUP($H491,食材表!$A:G,7,FALSE),0)+IFERROR($I492*VLOOKUP($H492,食材表!$A:G,7,FALSE),0)+IFERROR($I493*VLOOKUP($H493,食材表!$A:G,7,FALSE),0)+IFERROR($K491*VLOOKUP($J491,食材表!$A:G,7,FALSE),0)+IFERROR($K492*VLOOKUP($J492,食材表!$A:G,7,FALSE),0)+IFERROR($K493*VLOOKUP($J493,食材表!$A:G,7,FALSE),0)</f>
        <v>0</v>
      </c>
      <c r="Q491" s="342">
        <f>IFERROR($I491*VLOOKUP($H491,食材表!$A:H,8,FALSE),0)+IFERROR($I492*VLOOKUP($H492,食材表!$A:H,8,FALSE),0)+IFERROR($I493*VLOOKUP($H493,食材表!$A:H,8,FALSE),0)+IFERROR($K491*VLOOKUP($J491,食材表!$A:H,8,FALSE),0)+IFERROR($K492*VLOOKUP($J492,食材表!$A:H,8,FALSE),0)+IFERROR($K493*VLOOKUP($J493,食材表!$A:H,8,FALSE),0)</f>
        <v>0</v>
      </c>
      <c r="R491" s="342">
        <f>IFERROR($I491*VLOOKUP($H491,食材表!$A:I,9,FALSE),0)+IFERROR($I492*VLOOKUP($H492,食材表!$A:I,9,FALSE),0)+IFERROR($I493*VLOOKUP($H493,食材表!$A:I,9,FALSE),0)+IFERROR($K491*VLOOKUP($J491,食材表!$A:I,9,FALSE),0)+IFERROR($K492*VLOOKUP($J492,食材表!$A:I,9,FALSE),0)+IFERROR($K493*VLOOKUP($J493,食材表!$A:I,9,FALSE),0)</f>
        <v>0</v>
      </c>
      <c r="S491" s="342">
        <f>SUM(L491*70+M491*75+N491*120+O491*25+P491*60+Q491*45+R491*4)</f>
        <v>0</v>
      </c>
    </row>
    <row r="492" spans="1:19">
      <c r="A492" s="33" t="str">
        <f>"2"&amp;+$B491</f>
        <v>2黑豆茶</v>
      </c>
      <c r="B492" s="350"/>
      <c r="C492" s="22"/>
      <c r="D492" s="36"/>
      <c r="E492" s="22"/>
      <c r="F492" s="36"/>
      <c r="G492" s="353"/>
      <c r="H492" s="93">
        <f t="shared" ref="H492:H493" si="342">C492</f>
        <v>0</v>
      </c>
      <c r="I492" s="86" t="str">
        <f>IFERROR(IF(LEN(D492)=LENB(D492),ROUND(LEFT(D492,2*LEN(D492)-LENB(D492))/$A$1,3),((ROUND(LEFT(D492,2*LEN(D492)-LENB(D492))/$A$1,3))*VLOOKUP(H492,食材表!$A:$B,2,FALSE))),"")</f>
        <v/>
      </c>
      <c r="J492" s="93">
        <f t="shared" ref="J492:J493" si="343">E492</f>
        <v>0</v>
      </c>
      <c r="K492" s="86" t="str">
        <f>IFERROR(IF(LEN(F492)=LENB(F492),ROUND(LEFT(F492,2*LEN(F492)-LENB(F492))/$A$1,3),((ROUND(LEFT(F492,2*LEN(F492)-LENB(F492))/$A$1,3))*VLOOKUP(J492,食材表!$A:$B,2,FALSE))),"")</f>
        <v/>
      </c>
      <c r="L492" s="343"/>
      <c r="M492" s="343"/>
      <c r="N492" s="343"/>
      <c r="O492" s="343"/>
      <c r="P492" s="343"/>
      <c r="Q492" s="343"/>
      <c r="R492" s="343"/>
      <c r="S492" s="343"/>
    </row>
    <row r="493" spans="1:19">
      <c r="A493" s="33" t="str">
        <f>"3"&amp;+$B491</f>
        <v>3黑豆茶</v>
      </c>
      <c r="B493" s="351"/>
      <c r="C493" s="23"/>
      <c r="D493" s="36"/>
      <c r="E493" s="26"/>
      <c r="F493" s="37"/>
      <c r="G493" s="354"/>
      <c r="H493" s="92">
        <f t="shared" si="342"/>
        <v>0</v>
      </c>
      <c r="I493" s="84" t="str">
        <f>IFERROR(IF(LEN(D493)=LENB(D493),ROUND(LEFT(D493,2*LEN(D493)-LENB(D493))/$A$1,3),((ROUND(LEFT(D493,2*LEN(D493)-LENB(D493))/$A$1,3))*VLOOKUP(H493,食材表!$A:$B,2,FALSE))),"")</f>
        <v/>
      </c>
      <c r="J493" s="92">
        <f t="shared" si="343"/>
        <v>0</v>
      </c>
      <c r="K493" s="85" t="str">
        <f>IFERROR(IF(LEN(F493)=LENB(F493),ROUND(LEFT(F493,2*LEN(F493)-LENB(F493))/$A$1,3),((ROUND(LEFT(F493,2*LEN(F493)-LENB(F493))/$A$1,3))*VLOOKUP(J493,食材表!$A:$B,2,FALSE))),"")</f>
        <v/>
      </c>
      <c r="L493" s="344"/>
      <c r="M493" s="344"/>
      <c r="N493" s="344"/>
      <c r="O493" s="344"/>
      <c r="P493" s="344"/>
      <c r="Q493" s="344"/>
      <c r="R493" s="344"/>
      <c r="S493" s="344"/>
    </row>
    <row r="494" spans="1:19">
      <c r="A494" s="33" t="str">
        <f>"1"&amp;+$B494</f>
        <v>1粉圓豆花</v>
      </c>
      <c r="B494" s="359" t="s">
        <v>1129</v>
      </c>
      <c r="C494" s="60" t="s">
        <v>303</v>
      </c>
      <c r="D494" s="59">
        <v>0.6</v>
      </c>
      <c r="E494" s="60"/>
      <c r="F494" s="36"/>
      <c r="G494" s="374" t="str">
        <f>B494</f>
        <v>粉圓豆花</v>
      </c>
      <c r="H494" s="91" t="str">
        <f>C494</f>
        <v>粉圓</v>
      </c>
      <c r="I494" s="83">
        <f>IFERROR(IF(LEN(D494)=LENB(D494),ROUND(LEFT(D494,2*LEN(D494)-LENB(D494))/$A$1,3),((ROUND(LEFT(D494,2*LEN(D494)-LENB(D494))/$A$1,3))*VLOOKUP(H494,食材表!$A:$B,2,FALSE))),"")</f>
        <v>1.2E-2</v>
      </c>
      <c r="J494" s="91">
        <f>E494</f>
        <v>0</v>
      </c>
      <c r="K494" s="83" t="str">
        <f>IFERROR(IF(LEN(F494)=LENB(F494),ROUND(LEFT(F494,2*LEN(F494)-LENB(F494))/$A$1,3),((ROUND(LEFT(F494,2*LEN(F494)-LENB(F494))/$A$1,3))*VLOOKUP(J494,食材表!$A:$B,2,FALSE))),"")</f>
        <v/>
      </c>
      <c r="L494" s="342">
        <f>IFERROR($I494*VLOOKUP($H494,食材表!$A:C,3,FALSE),0)+IFERROR($I495*VLOOKUP($H495,食材表!$A:C,3,FALSE),0)+IFERROR($I496*VLOOKUP($H496,食材表!$A:C,3,FALSE),0)+IFERROR($K494*VLOOKUP($J494,食材表!$A:C,3,FALSE),0)+IFERROR($K495*VLOOKUP($J495,食材表!$A:C,3,FALSE),0)+IFERROR($K496*VLOOKUP($J496,食材表!$A:C,3,FALSE),0)</f>
        <v>0.8</v>
      </c>
      <c r="M494" s="342">
        <f>IFERROR($I494*VLOOKUP($H494,食材表!$A:D,4,FALSE),0)+IFERROR($I495*VLOOKUP($H495,食材表!$A:D,4,FALSE),0)+IFERROR($I496*VLOOKUP($H496,食材表!$A:D,4,FALSE),0)+IFERROR($K494*VLOOKUP($J494,食材表!$A:D,4,FALSE),0)+IFERROR($K495*VLOOKUP($J495,食材表!$A:D,4,FALSE),0)+IFERROR($K496*VLOOKUP($J496,食材表!$A:D,4,FALSE),0)</f>
        <v>0.6</v>
      </c>
      <c r="N494" s="342">
        <f>IFERROR($I494*VLOOKUP($H494,食材表!$A:E,5,FALSE),0)+IFERROR($I495*VLOOKUP($H495,食材表!$A:E,5,FALSE),0)+IFERROR($I496*VLOOKUP($H496,食材表!$A:E,5,FALSE),0)+IFERROR($K494*VLOOKUP($J494,食材表!$A:E,5,FALSE),0)+IFERROR($K495*VLOOKUP($J495,食材表!$A:E,5,FALSE),0)+IFERROR($K496*VLOOKUP($J496,食材表!$A:E,5,FALSE),0)</f>
        <v>0</v>
      </c>
      <c r="O494" s="342">
        <f>IFERROR($I494*VLOOKUP($H494,食材表!$A:F,6,FALSE),0)+IFERROR($I495*VLOOKUP($H495,食材表!$A:F,6,FALSE),0)+IFERROR($I496*VLOOKUP($H496,食材表!$A:F,6,FALSE),0)+IFERROR($K494*VLOOKUP($J494,食材表!$A:F,6,FALSE),0)+IFERROR($K495*VLOOKUP($J495,食材表!$A:F,6,FALSE),0)+IFERROR($K496*VLOOKUP($J496,食材表!$A:F,6,FALSE),0)</f>
        <v>0</v>
      </c>
      <c r="P494" s="342">
        <f>IFERROR($I494*VLOOKUP($H494,食材表!$A:G,7,FALSE),0)+IFERROR($I495*VLOOKUP($H495,食材表!$A:G,7,FALSE),0)+IFERROR($I496*VLOOKUP($H496,食材表!$A:G,7,FALSE),0)+IFERROR($K494*VLOOKUP($J494,食材表!$A:G,7,FALSE),0)+IFERROR($K495*VLOOKUP($J495,食材表!$A:G,7,FALSE),0)+IFERROR($K496*VLOOKUP($J496,食材表!$A:G,7,FALSE),0)</f>
        <v>0</v>
      </c>
      <c r="Q494" s="342">
        <f>IFERROR($I494*VLOOKUP($H494,食材表!$A:H,8,FALSE),0)+IFERROR($I495*VLOOKUP($H495,食材表!$A:H,8,FALSE),0)+IFERROR($I496*VLOOKUP($H496,食材表!$A:H,8,FALSE),0)+IFERROR($K494*VLOOKUP($J494,食材表!$A:H,8,FALSE),0)+IFERROR($K495*VLOOKUP($J495,食材表!$A:H,8,FALSE),0)+IFERROR($K496*VLOOKUP($J496,食材表!$A:H,8,FALSE),0)</f>
        <v>0</v>
      </c>
      <c r="R494" s="342">
        <f>IFERROR($I494*VLOOKUP($H494,食材表!$A:I,9,FALSE),0)+IFERROR($I495*VLOOKUP($H495,食材表!$A:I,9,FALSE),0)+IFERROR($I496*VLOOKUP($H496,食材表!$A:I,9,FALSE),0)+IFERROR($K494*VLOOKUP($J494,食材表!$A:I,9,FALSE),0)+IFERROR($K495*VLOOKUP($J495,食材表!$A:I,9,FALSE),0)+IFERROR($K496*VLOOKUP($J496,食材表!$A:I,9,FALSE),0)</f>
        <v>20</v>
      </c>
      <c r="S494" s="342">
        <f>SUM(L494*70+M494*75+N494*120+O494*25+P494*60+Q494*45+R494*4)</f>
        <v>181</v>
      </c>
    </row>
    <row r="495" spans="1:19">
      <c r="A495" s="33" t="str">
        <f>"2"&amp;+$B494</f>
        <v>2粉圓豆花</v>
      </c>
      <c r="B495" s="360"/>
      <c r="C495" s="22" t="s">
        <v>402</v>
      </c>
      <c r="D495" s="36">
        <v>6</v>
      </c>
      <c r="E495" s="22"/>
      <c r="F495" s="36"/>
      <c r="G495" s="375"/>
      <c r="H495" s="93" t="str">
        <f t="shared" ref="H495:H496" si="344">C495</f>
        <v>豆花</v>
      </c>
      <c r="I495" s="86">
        <f>IFERROR(IF(LEN(D495)=LENB(D495),ROUND(LEFT(D495,2*LEN(D495)-LENB(D495))/$A$1,3),((ROUND(LEFT(D495,2*LEN(D495)-LENB(D495))/$A$1,3))*VLOOKUP(H495,食材表!$A:$B,2,FALSE))),"")</f>
        <v>0.12</v>
      </c>
      <c r="J495" s="93">
        <f t="shared" ref="J495:J496" si="345">E495</f>
        <v>0</v>
      </c>
      <c r="K495" s="86" t="str">
        <f>IFERROR(IF(LEN(F495)=LENB(F495),ROUND(LEFT(F495,2*LEN(F495)-LENB(F495))/$A$1,3),((ROUND(LEFT(F495,2*LEN(F495)-LENB(F495))/$A$1,3))*VLOOKUP(J495,食材表!$A:$B,2,FALSE))),"")</f>
        <v/>
      </c>
      <c r="L495" s="343"/>
      <c r="M495" s="343"/>
      <c r="N495" s="343"/>
      <c r="O495" s="343"/>
      <c r="P495" s="343"/>
      <c r="Q495" s="343"/>
      <c r="R495" s="343"/>
      <c r="S495" s="343"/>
    </row>
    <row r="496" spans="1:19">
      <c r="A496" s="33" t="str">
        <f>"3"&amp;+$B494</f>
        <v>3粉圓豆花</v>
      </c>
      <c r="B496" s="361"/>
      <c r="C496" s="26" t="s">
        <v>13</v>
      </c>
      <c r="D496" s="37">
        <v>1</v>
      </c>
      <c r="E496" s="26"/>
      <c r="F496" s="37"/>
      <c r="G496" s="376"/>
      <c r="H496" s="92" t="str">
        <f t="shared" si="344"/>
        <v>二砂糖</v>
      </c>
      <c r="I496" s="84">
        <f>IFERROR(IF(LEN(D496)=LENB(D496),ROUND(LEFT(D496,2*LEN(D496)-LENB(D496))/$A$1,3),((ROUND(LEFT(D496,2*LEN(D496)-LENB(D496))/$A$1,3))*VLOOKUP(H496,食材表!$A:$B,2,FALSE))),"")</f>
        <v>0.02</v>
      </c>
      <c r="J496" s="92">
        <f t="shared" si="345"/>
        <v>0</v>
      </c>
      <c r="K496" s="85" t="str">
        <f>IFERROR(IF(LEN(F496)=LENB(F496),ROUND(LEFT(F496,2*LEN(F496)-LENB(F496))/$A$1,3),((ROUND(LEFT(F496,2*LEN(F496)-LENB(F496))/$A$1,3))*VLOOKUP(J496,食材表!$A:$B,2,FALSE))),"")</f>
        <v/>
      </c>
      <c r="L496" s="344"/>
      <c r="M496" s="344"/>
      <c r="N496" s="344"/>
      <c r="O496" s="344"/>
      <c r="P496" s="344"/>
      <c r="Q496" s="344"/>
      <c r="R496" s="344"/>
      <c r="S496" s="344"/>
    </row>
    <row r="497" spans="1:19">
      <c r="A497" s="33" t="str">
        <f>"1"&amp;+$B497</f>
        <v>1花豆豆花</v>
      </c>
      <c r="B497" s="359" t="s">
        <v>1174</v>
      </c>
      <c r="C497" s="60" t="s">
        <v>1177</v>
      </c>
      <c r="D497" s="59">
        <v>1.2</v>
      </c>
      <c r="E497" s="60"/>
      <c r="F497" s="36"/>
      <c r="G497" s="374" t="str">
        <f>B497</f>
        <v>花豆豆花</v>
      </c>
      <c r="H497" s="91" t="str">
        <f>C497</f>
        <v>花豆</v>
      </c>
      <c r="I497" s="83">
        <f>IFERROR(IF(LEN(D497)=LENB(D497),ROUND(LEFT(D497,2*LEN(D497)-LENB(D497))/$A$1,3),((ROUND(LEFT(D497,2*LEN(D497)-LENB(D497))/$A$1,3))*VLOOKUP(H497,食材表!$A:$B,2,FALSE))),"")</f>
        <v>2.4E-2</v>
      </c>
      <c r="J497" s="91">
        <f>E497</f>
        <v>0</v>
      </c>
      <c r="K497" s="83" t="str">
        <f>IFERROR(IF(LEN(F497)=LENB(F497),ROUND(LEFT(F497,2*LEN(F497)-LENB(F497))/$A$1,3),((ROUND(LEFT(F497,2*LEN(F497)-LENB(F497))/$A$1,3))*VLOOKUP(J497,食材表!$A:$B,2,FALSE))),"")</f>
        <v/>
      </c>
      <c r="L497" s="342">
        <f>IFERROR($I497*VLOOKUP($H497,食材表!$A:C,3,FALSE),0)+IFERROR($I498*VLOOKUP($H498,食材表!$A:C,3,FALSE),0)+IFERROR($I499*VLOOKUP($H499,食材表!$A:C,3,FALSE),0)+IFERROR($K497*VLOOKUP($J497,食材表!$A:C,3,FALSE),0)+IFERROR($K498*VLOOKUP($J498,食材表!$A:C,3,FALSE),0)+IFERROR($K499*VLOOKUP($J499,食材表!$A:C,3,FALSE),0)</f>
        <v>0</v>
      </c>
      <c r="M497" s="342">
        <f>IFERROR($I497*VLOOKUP($H497,食材表!$A:D,4,FALSE),0)+IFERROR($I498*VLOOKUP($H498,食材表!$A:D,4,FALSE),0)+IFERROR($I499*VLOOKUP($H499,食材表!$A:D,4,FALSE),0)+IFERROR($K497*VLOOKUP($J497,食材表!$A:D,4,FALSE),0)+IFERROR($K498*VLOOKUP($J498,食材表!$A:D,4,FALSE),0)+IFERROR($K499*VLOOKUP($J499,食材表!$A:D,4,FALSE),0)</f>
        <v>0.6</v>
      </c>
      <c r="N497" s="342">
        <f>IFERROR($I497*VLOOKUP($H497,食材表!$A:E,5,FALSE),0)+IFERROR($I498*VLOOKUP($H498,食材表!$A:E,5,FALSE),0)+IFERROR($I499*VLOOKUP($H499,食材表!$A:E,5,FALSE),0)+IFERROR($K497*VLOOKUP($J497,食材表!$A:E,5,FALSE),0)+IFERROR($K498*VLOOKUP($J498,食材表!$A:E,5,FALSE),0)+IFERROR($K499*VLOOKUP($J499,食材表!$A:E,5,FALSE),0)</f>
        <v>0</v>
      </c>
      <c r="O497" s="342">
        <f>IFERROR($I497*VLOOKUP($H497,食材表!$A:F,6,FALSE),0)+IFERROR($I498*VLOOKUP($H498,食材表!$A:F,6,FALSE),0)+IFERROR($I499*VLOOKUP($H499,食材表!$A:F,6,FALSE),0)+IFERROR($K497*VLOOKUP($J497,食材表!$A:F,6,FALSE),0)+IFERROR($K498*VLOOKUP($J498,食材表!$A:F,6,FALSE),0)+IFERROR($K499*VLOOKUP($J499,食材表!$A:F,6,FALSE),0)</f>
        <v>0</v>
      </c>
      <c r="P497" s="342">
        <f>IFERROR($I497*VLOOKUP($H497,食材表!$A:G,7,FALSE),0)+IFERROR($I498*VLOOKUP($H498,食材表!$A:G,7,FALSE),0)+IFERROR($I499*VLOOKUP($H499,食材表!$A:G,7,FALSE),0)+IFERROR($K497*VLOOKUP($J497,食材表!$A:G,7,FALSE),0)+IFERROR($K498*VLOOKUP($J498,食材表!$A:G,7,FALSE),0)+IFERROR($K499*VLOOKUP($J499,食材表!$A:G,7,FALSE),0)</f>
        <v>0</v>
      </c>
      <c r="Q497" s="342">
        <f>IFERROR($I497*VLOOKUP($H497,食材表!$A:H,8,FALSE),0)+IFERROR($I498*VLOOKUP($H498,食材表!$A:H,8,FALSE),0)+IFERROR($I499*VLOOKUP($H499,食材表!$A:H,8,FALSE),0)+IFERROR($K497*VLOOKUP($J497,食材表!$A:H,8,FALSE),0)+IFERROR($K498*VLOOKUP($J498,食材表!$A:H,8,FALSE),0)+IFERROR($K499*VLOOKUP($J499,食材表!$A:H,8,FALSE),0)</f>
        <v>0</v>
      </c>
      <c r="R497" s="342">
        <f>IFERROR($I497*VLOOKUP($H497,食材表!$A:I,9,FALSE),0)+IFERROR($I498*VLOOKUP($H498,食材表!$A:I,9,FALSE),0)+IFERROR($I499*VLOOKUP($H499,食材表!$A:I,9,FALSE),0)+IFERROR($K497*VLOOKUP($J497,食材表!$A:I,9,FALSE),0)+IFERROR($K498*VLOOKUP($J498,食材表!$A:I,9,FALSE),0)+IFERROR($K499*VLOOKUP($J499,食材表!$A:I,9,FALSE),0)</f>
        <v>20</v>
      </c>
      <c r="S497" s="342">
        <f>SUM(L497*70+M497*75+N497*120+O497*25+P497*60+Q497*45+R497*4)</f>
        <v>125</v>
      </c>
    </row>
    <row r="498" spans="1:19">
      <c r="A498" s="33" t="str">
        <f>"2"&amp;+$B497</f>
        <v>2花豆豆花</v>
      </c>
      <c r="B498" s="360"/>
      <c r="C498" s="22" t="s">
        <v>402</v>
      </c>
      <c r="D498" s="36">
        <v>6</v>
      </c>
      <c r="E498" s="22"/>
      <c r="F498" s="36"/>
      <c r="G498" s="375"/>
      <c r="H498" s="93" t="str">
        <f t="shared" ref="H498:H499" si="346">C498</f>
        <v>豆花</v>
      </c>
      <c r="I498" s="86">
        <f>IFERROR(IF(LEN(D498)=LENB(D498),ROUND(LEFT(D498,2*LEN(D498)-LENB(D498))/$A$1,3),((ROUND(LEFT(D498,2*LEN(D498)-LENB(D498))/$A$1,3))*VLOOKUP(H498,食材表!$A:$B,2,FALSE))),"")</f>
        <v>0.12</v>
      </c>
      <c r="J498" s="93">
        <f t="shared" ref="J498:J499" si="347">E498</f>
        <v>0</v>
      </c>
      <c r="K498" s="86" t="str">
        <f>IFERROR(IF(LEN(F498)=LENB(F498),ROUND(LEFT(F498,2*LEN(F498)-LENB(F498))/$A$1,3),((ROUND(LEFT(F498,2*LEN(F498)-LENB(F498))/$A$1,3))*VLOOKUP(J498,食材表!$A:$B,2,FALSE))),"")</f>
        <v/>
      </c>
      <c r="L498" s="343"/>
      <c r="M498" s="343"/>
      <c r="N498" s="343"/>
      <c r="O498" s="343"/>
      <c r="P498" s="343"/>
      <c r="Q498" s="343"/>
      <c r="R498" s="343"/>
      <c r="S498" s="343"/>
    </row>
    <row r="499" spans="1:19">
      <c r="A499" s="33" t="str">
        <f>"3"&amp;+$B497</f>
        <v>3花豆豆花</v>
      </c>
      <c r="B499" s="361"/>
      <c r="C499" s="26" t="s">
        <v>13</v>
      </c>
      <c r="D499" s="37">
        <v>1</v>
      </c>
      <c r="E499" s="26"/>
      <c r="F499" s="37"/>
      <c r="G499" s="376"/>
      <c r="H499" s="92" t="str">
        <f t="shared" si="346"/>
        <v>二砂糖</v>
      </c>
      <c r="I499" s="84">
        <f>IFERROR(IF(LEN(D499)=LENB(D499),ROUND(LEFT(D499,2*LEN(D499)-LENB(D499))/$A$1,3),((ROUND(LEFT(D499,2*LEN(D499)-LENB(D499))/$A$1,3))*VLOOKUP(H499,食材表!$A:$B,2,FALSE))),"")</f>
        <v>0.02</v>
      </c>
      <c r="J499" s="92">
        <f t="shared" si="347"/>
        <v>0</v>
      </c>
      <c r="K499" s="85" t="str">
        <f>IFERROR(IF(LEN(F499)=LENB(F499),ROUND(LEFT(F499,2*LEN(F499)-LENB(F499))/$A$1,3),((ROUND(LEFT(F499,2*LEN(F499)-LENB(F499))/$A$1,3))*VLOOKUP(J499,食材表!$A:$B,2,FALSE))),"")</f>
        <v/>
      </c>
      <c r="L499" s="344"/>
      <c r="M499" s="344"/>
      <c r="N499" s="344"/>
      <c r="O499" s="344"/>
      <c r="P499" s="344"/>
      <c r="Q499" s="344"/>
      <c r="R499" s="344"/>
      <c r="S499" s="344"/>
    </row>
    <row r="500" spans="1:19">
      <c r="A500" s="33" t="str">
        <f>"1"&amp;+$B500</f>
        <v>1珍珠豆花</v>
      </c>
      <c r="B500" s="359" t="s">
        <v>1143</v>
      </c>
      <c r="C500" s="60" t="s">
        <v>303</v>
      </c>
      <c r="D500" s="59">
        <v>0.6</v>
      </c>
      <c r="E500" s="60"/>
      <c r="F500" s="36"/>
      <c r="G500" s="374" t="str">
        <f>B500</f>
        <v>珍珠豆花</v>
      </c>
      <c r="H500" s="91" t="str">
        <f>C500</f>
        <v>粉圓</v>
      </c>
      <c r="I500" s="83">
        <f>IFERROR(IF(LEN(D500)=LENB(D500),ROUND(LEFT(D500,2*LEN(D500)-LENB(D500))/$A$1,3),((ROUND(LEFT(D500,2*LEN(D500)-LENB(D500))/$A$1,3))*VLOOKUP(H500,食材表!$A:$B,2,FALSE))),"")</f>
        <v>1.2E-2</v>
      </c>
      <c r="J500" s="91">
        <f>E500</f>
        <v>0</v>
      </c>
      <c r="K500" s="83" t="str">
        <f>IFERROR(IF(LEN(F500)=LENB(F500),ROUND(LEFT(F500,2*LEN(F500)-LENB(F500))/$A$1,3),((ROUND(LEFT(F500,2*LEN(F500)-LENB(F500))/$A$1,3))*VLOOKUP(J500,食材表!$A:$B,2,FALSE))),"")</f>
        <v/>
      </c>
      <c r="L500" s="342">
        <f>IFERROR($I500*VLOOKUP($H500,食材表!$A:C,3,FALSE),0)+IFERROR($I501*VLOOKUP($H501,食材表!$A:C,3,FALSE),0)+IFERROR($I502*VLOOKUP($H502,食材表!$A:C,3,FALSE),0)+IFERROR($K500*VLOOKUP($J500,食材表!$A:C,3,FALSE),0)+IFERROR($K501*VLOOKUP($J501,食材表!$A:C,3,FALSE),0)+IFERROR($K502*VLOOKUP($J502,食材表!$A:C,3,FALSE),0)</f>
        <v>0.8</v>
      </c>
      <c r="M500" s="342">
        <f>IFERROR($I500*VLOOKUP($H500,食材表!$A:D,4,FALSE),0)+IFERROR($I501*VLOOKUP($H501,食材表!$A:D,4,FALSE),0)+IFERROR($I502*VLOOKUP($H502,食材表!$A:D,4,FALSE),0)+IFERROR($K500*VLOOKUP($J500,食材表!$A:D,4,FALSE),0)+IFERROR($K501*VLOOKUP($J501,食材表!$A:D,4,FALSE),0)+IFERROR($K502*VLOOKUP($J502,食材表!$A:D,4,FALSE),0)</f>
        <v>0.6</v>
      </c>
      <c r="N500" s="342">
        <f>IFERROR($I500*VLOOKUP($H500,食材表!$A:E,5,FALSE),0)+IFERROR($I501*VLOOKUP($H501,食材表!$A:E,5,FALSE),0)+IFERROR($I502*VLOOKUP($H502,食材表!$A:E,5,FALSE),0)+IFERROR($K500*VLOOKUP($J500,食材表!$A:E,5,FALSE),0)+IFERROR($K501*VLOOKUP($J501,食材表!$A:E,5,FALSE),0)+IFERROR($K502*VLOOKUP($J502,食材表!$A:E,5,FALSE),0)</f>
        <v>0</v>
      </c>
      <c r="O500" s="342">
        <f>IFERROR($I500*VLOOKUP($H500,食材表!$A:F,6,FALSE),0)+IFERROR($I501*VLOOKUP($H501,食材表!$A:F,6,FALSE),0)+IFERROR($I502*VLOOKUP($H502,食材表!$A:F,6,FALSE),0)+IFERROR($K500*VLOOKUP($J500,食材表!$A:F,6,FALSE),0)+IFERROR($K501*VLOOKUP($J501,食材表!$A:F,6,FALSE),0)+IFERROR($K502*VLOOKUP($J502,食材表!$A:F,6,FALSE),0)</f>
        <v>0</v>
      </c>
      <c r="P500" s="342">
        <f>IFERROR($I500*VLOOKUP($H500,食材表!$A:G,7,FALSE),0)+IFERROR($I501*VLOOKUP($H501,食材表!$A:G,7,FALSE),0)+IFERROR($I502*VLOOKUP($H502,食材表!$A:G,7,FALSE),0)+IFERROR($K500*VLOOKUP($J500,食材表!$A:G,7,FALSE),0)+IFERROR($K501*VLOOKUP($J501,食材表!$A:G,7,FALSE),0)+IFERROR($K502*VLOOKUP($J502,食材表!$A:G,7,FALSE),0)</f>
        <v>0</v>
      </c>
      <c r="Q500" s="342">
        <f>IFERROR($I500*VLOOKUP($H500,食材表!$A:H,8,FALSE),0)+IFERROR($I501*VLOOKUP($H501,食材表!$A:H,8,FALSE),0)+IFERROR($I502*VLOOKUP($H502,食材表!$A:H,8,FALSE),0)+IFERROR($K500*VLOOKUP($J500,食材表!$A:H,8,FALSE),0)+IFERROR($K501*VLOOKUP($J501,食材表!$A:H,8,FALSE),0)+IFERROR($K502*VLOOKUP($J502,食材表!$A:H,8,FALSE),0)</f>
        <v>0</v>
      </c>
      <c r="R500" s="342">
        <f>IFERROR($I500*VLOOKUP($H500,食材表!$A:I,9,FALSE),0)+IFERROR($I501*VLOOKUP($H501,食材表!$A:I,9,FALSE),0)+IFERROR($I502*VLOOKUP($H502,食材表!$A:I,9,FALSE),0)+IFERROR($K500*VLOOKUP($J500,食材表!$A:I,9,FALSE),0)+IFERROR($K501*VLOOKUP($J501,食材表!$A:I,9,FALSE),0)+IFERROR($K502*VLOOKUP($J502,食材表!$A:I,9,FALSE),0)</f>
        <v>20</v>
      </c>
      <c r="S500" s="342">
        <f>SUM(L500*70+M500*75+N500*120+O500*25+P500*60+Q500*45+R500*4)</f>
        <v>181</v>
      </c>
    </row>
    <row r="501" spans="1:19">
      <c r="A501" s="33" t="str">
        <f>"2"&amp;+$B500</f>
        <v>2珍珠豆花</v>
      </c>
      <c r="B501" s="360"/>
      <c r="C501" s="22" t="s">
        <v>402</v>
      </c>
      <c r="D501" s="36">
        <v>6</v>
      </c>
      <c r="E501" s="22"/>
      <c r="F501" s="36"/>
      <c r="G501" s="375"/>
      <c r="H501" s="93" t="str">
        <f t="shared" ref="H501:H502" si="348">C501</f>
        <v>豆花</v>
      </c>
      <c r="I501" s="86">
        <f>IFERROR(IF(LEN(D501)=LENB(D501),ROUND(LEFT(D501,2*LEN(D501)-LENB(D501))/$A$1,3),((ROUND(LEFT(D501,2*LEN(D501)-LENB(D501))/$A$1,3))*VLOOKUP(H501,食材表!$A:$B,2,FALSE))),"")</f>
        <v>0.12</v>
      </c>
      <c r="J501" s="93">
        <f t="shared" ref="J501:J502" si="349">E501</f>
        <v>0</v>
      </c>
      <c r="K501" s="86" t="str">
        <f>IFERROR(IF(LEN(F501)=LENB(F501),ROUND(LEFT(F501,2*LEN(F501)-LENB(F501))/$A$1,3),((ROUND(LEFT(F501,2*LEN(F501)-LENB(F501))/$A$1,3))*VLOOKUP(J501,食材表!$A:$B,2,FALSE))),"")</f>
        <v/>
      </c>
      <c r="L501" s="343"/>
      <c r="M501" s="343"/>
      <c r="N501" s="343"/>
      <c r="O501" s="343"/>
      <c r="P501" s="343"/>
      <c r="Q501" s="343"/>
      <c r="R501" s="343"/>
      <c r="S501" s="343"/>
    </row>
    <row r="502" spans="1:19">
      <c r="A502" s="33" t="str">
        <f>"3"&amp;+$B500</f>
        <v>3珍珠豆花</v>
      </c>
      <c r="B502" s="361"/>
      <c r="C502" s="26" t="s">
        <v>13</v>
      </c>
      <c r="D502" s="37">
        <v>1</v>
      </c>
      <c r="E502" s="26"/>
      <c r="F502" s="37"/>
      <c r="G502" s="376"/>
      <c r="H502" s="92" t="str">
        <f t="shared" si="348"/>
        <v>二砂糖</v>
      </c>
      <c r="I502" s="84">
        <f>IFERROR(IF(LEN(D502)=LENB(D502),ROUND(LEFT(D502,2*LEN(D502)-LENB(D502))/$A$1,3),((ROUND(LEFT(D502,2*LEN(D502)-LENB(D502))/$A$1,3))*VLOOKUP(H502,食材表!$A:$B,2,FALSE))),"")</f>
        <v>0.02</v>
      </c>
      <c r="J502" s="92">
        <f t="shared" si="349"/>
        <v>0</v>
      </c>
      <c r="K502" s="85" t="str">
        <f>IFERROR(IF(LEN(F502)=LENB(F502),ROUND(LEFT(F502,2*LEN(F502)-LENB(F502))/$A$1,3),((ROUND(LEFT(F502,2*LEN(F502)-LENB(F502))/$A$1,3))*VLOOKUP(J502,食材表!$A:$B,2,FALSE))),"")</f>
        <v/>
      </c>
      <c r="L502" s="344"/>
      <c r="M502" s="344"/>
      <c r="N502" s="344"/>
      <c r="O502" s="344"/>
      <c r="P502" s="344"/>
      <c r="Q502" s="344"/>
      <c r="R502" s="344"/>
      <c r="S502" s="344"/>
    </row>
    <row r="503" spans="1:19">
      <c r="A503" s="33" t="str">
        <f>"1"&amp;+$B503</f>
        <v>1芋圓豆花</v>
      </c>
      <c r="B503" s="359" t="s">
        <v>962</v>
      </c>
      <c r="C503" s="60" t="s">
        <v>308</v>
      </c>
      <c r="D503" s="59">
        <v>0.6</v>
      </c>
      <c r="E503" s="60"/>
      <c r="F503" s="36"/>
      <c r="G503" s="374" t="str">
        <f>B503</f>
        <v>芋圓豆花</v>
      </c>
      <c r="H503" s="91" t="str">
        <f>C503</f>
        <v>芋圓</v>
      </c>
      <c r="I503" s="83">
        <f>IFERROR(IF(LEN(D503)=LENB(D503),ROUND(LEFT(D503,2*LEN(D503)-LENB(D503))/$A$1,3),((ROUND(LEFT(D503,2*LEN(D503)-LENB(D503))/$A$1,3))*VLOOKUP(H503,食材表!$A:$B,2,FALSE))),"")</f>
        <v>1.2E-2</v>
      </c>
      <c r="J503" s="91">
        <f>E503</f>
        <v>0</v>
      </c>
      <c r="K503" s="83" t="str">
        <f>IFERROR(IF(LEN(F503)=LENB(F503),ROUND(LEFT(F503,2*LEN(F503)-LENB(F503))/$A$1,3),((ROUND(LEFT(F503,2*LEN(F503)-LENB(F503))/$A$1,3))*VLOOKUP(J503,食材表!$A:$B,2,FALSE))),"")</f>
        <v/>
      </c>
      <c r="L503" s="342">
        <f>IFERROR($I503*VLOOKUP($H503,食材表!$A:C,3,FALSE),0)+IFERROR($I504*VLOOKUP($H504,食材表!$A:C,3,FALSE),0)+IFERROR($I505*VLOOKUP($H505,食材表!$A:C,3,FALSE),0)+IFERROR($K503*VLOOKUP($J503,食材表!$A:C,3,FALSE),0)+IFERROR($K504*VLOOKUP($J504,食材表!$A:C,3,FALSE),0)+IFERROR($K505*VLOOKUP($J505,食材表!$A:C,3,FALSE),0)</f>
        <v>0.4</v>
      </c>
      <c r="M503" s="342">
        <f>IFERROR($I503*VLOOKUP($H503,食材表!$A:D,4,FALSE),0)+IFERROR($I504*VLOOKUP($H504,食材表!$A:D,4,FALSE),0)+IFERROR($I505*VLOOKUP($H505,食材表!$A:D,4,FALSE),0)+IFERROR($K503*VLOOKUP($J503,食材表!$A:D,4,FALSE),0)+IFERROR($K504*VLOOKUP($J504,食材表!$A:D,4,FALSE),0)+IFERROR($K505*VLOOKUP($J505,食材表!$A:D,4,FALSE),0)</f>
        <v>0.6</v>
      </c>
      <c r="N503" s="342">
        <f>IFERROR($I503*VLOOKUP($H503,食材表!$A:E,5,FALSE),0)+IFERROR($I504*VLOOKUP($H504,食材表!$A:E,5,FALSE),0)+IFERROR($I505*VLOOKUP($H505,食材表!$A:E,5,FALSE),0)+IFERROR($K503*VLOOKUP($J503,食材表!$A:E,5,FALSE),0)+IFERROR($K504*VLOOKUP($J504,食材表!$A:E,5,FALSE),0)+IFERROR($K505*VLOOKUP($J505,食材表!$A:E,5,FALSE),0)</f>
        <v>0</v>
      </c>
      <c r="O503" s="342">
        <f>IFERROR($I503*VLOOKUP($H503,食材表!$A:F,6,FALSE),0)+IFERROR($I504*VLOOKUP($H504,食材表!$A:F,6,FALSE),0)+IFERROR($I505*VLOOKUP($H505,食材表!$A:F,6,FALSE),0)+IFERROR($K503*VLOOKUP($J503,食材表!$A:F,6,FALSE),0)+IFERROR($K504*VLOOKUP($J504,食材表!$A:F,6,FALSE),0)+IFERROR($K505*VLOOKUP($J505,食材表!$A:F,6,FALSE),0)</f>
        <v>0</v>
      </c>
      <c r="P503" s="342">
        <f>IFERROR($I503*VLOOKUP($H503,食材表!$A:G,7,FALSE),0)+IFERROR($I504*VLOOKUP($H504,食材表!$A:G,7,FALSE),0)+IFERROR($I505*VLOOKUP($H505,食材表!$A:G,7,FALSE),0)+IFERROR($K503*VLOOKUP($J503,食材表!$A:G,7,FALSE),0)+IFERROR($K504*VLOOKUP($J504,食材表!$A:G,7,FALSE),0)+IFERROR($K505*VLOOKUP($J505,食材表!$A:G,7,FALSE),0)</f>
        <v>0</v>
      </c>
      <c r="Q503" s="342">
        <f>IFERROR($I503*VLOOKUP($H503,食材表!$A:H,8,FALSE),0)+IFERROR($I504*VLOOKUP($H504,食材表!$A:H,8,FALSE),0)+IFERROR($I505*VLOOKUP($H505,食材表!$A:H,8,FALSE),0)+IFERROR($K503*VLOOKUP($J503,食材表!$A:H,8,FALSE),0)+IFERROR($K504*VLOOKUP($J504,食材表!$A:H,8,FALSE),0)+IFERROR($K505*VLOOKUP($J505,食材表!$A:H,8,FALSE),0)</f>
        <v>0</v>
      </c>
      <c r="R503" s="342">
        <f>IFERROR($I503*VLOOKUP($H503,食材表!$A:I,9,FALSE),0)+IFERROR($I504*VLOOKUP($H504,食材表!$A:I,9,FALSE),0)+IFERROR($I505*VLOOKUP($H505,食材表!$A:I,9,FALSE),0)+IFERROR($K503*VLOOKUP($J503,食材表!$A:I,9,FALSE),0)+IFERROR($K504*VLOOKUP($J504,食材表!$A:I,9,FALSE),0)+IFERROR($K505*VLOOKUP($J505,食材表!$A:I,9,FALSE),0)</f>
        <v>20</v>
      </c>
      <c r="S503" s="342">
        <f>SUM(L503*70+M503*75+N503*120+O503*25+P503*60+Q503*45+R503*4)</f>
        <v>153</v>
      </c>
    </row>
    <row r="504" spans="1:19">
      <c r="A504" s="33" t="str">
        <f>"2"&amp;+$B503</f>
        <v>2芋圓豆花</v>
      </c>
      <c r="B504" s="360"/>
      <c r="C504" s="22" t="s">
        <v>402</v>
      </c>
      <c r="D504" s="36">
        <v>6</v>
      </c>
      <c r="E504" s="22"/>
      <c r="F504" s="36"/>
      <c r="G504" s="375"/>
      <c r="H504" s="93" t="str">
        <f t="shared" ref="H504:H505" si="350">C504</f>
        <v>豆花</v>
      </c>
      <c r="I504" s="86">
        <f>IFERROR(IF(LEN(D504)=LENB(D504),ROUND(LEFT(D504,2*LEN(D504)-LENB(D504))/$A$1,3),((ROUND(LEFT(D504,2*LEN(D504)-LENB(D504))/$A$1,3))*VLOOKUP(H504,食材表!$A:$B,2,FALSE))),"")</f>
        <v>0.12</v>
      </c>
      <c r="J504" s="93">
        <f t="shared" ref="J504:J505" si="351">E504</f>
        <v>0</v>
      </c>
      <c r="K504" s="86" t="str">
        <f>IFERROR(IF(LEN(F504)=LENB(F504),ROUND(LEFT(F504,2*LEN(F504)-LENB(F504))/$A$1,3),((ROUND(LEFT(F504,2*LEN(F504)-LENB(F504))/$A$1,3))*VLOOKUP(J504,食材表!$A:$B,2,FALSE))),"")</f>
        <v/>
      </c>
      <c r="L504" s="343"/>
      <c r="M504" s="343"/>
      <c r="N504" s="343"/>
      <c r="O504" s="343"/>
      <c r="P504" s="343"/>
      <c r="Q504" s="343"/>
      <c r="R504" s="343"/>
      <c r="S504" s="343"/>
    </row>
    <row r="505" spans="1:19">
      <c r="A505" s="33" t="str">
        <f>"3"&amp;+$B503</f>
        <v>3芋圓豆花</v>
      </c>
      <c r="B505" s="361"/>
      <c r="C505" s="26" t="s">
        <v>13</v>
      </c>
      <c r="D505" s="37">
        <v>1</v>
      </c>
      <c r="E505" s="26"/>
      <c r="F505" s="37"/>
      <c r="G505" s="376"/>
      <c r="H505" s="92" t="str">
        <f t="shared" si="350"/>
        <v>二砂糖</v>
      </c>
      <c r="I505" s="84">
        <f>IFERROR(IF(LEN(D505)=LENB(D505),ROUND(LEFT(D505,2*LEN(D505)-LENB(D505))/$A$1,3),((ROUND(LEFT(D505,2*LEN(D505)-LENB(D505))/$A$1,3))*VLOOKUP(H505,食材表!$A:$B,2,FALSE))),"")</f>
        <v>0.02</v>
      </c>
      <c r="J505" s="92">
        <f t="shared" si="351"/>
        <v>0</v>
      </c>
      <c r="K505" s="85" t="str">
        <f>IFERROR(IF(LEN(F505)=LENB(F505),ROUND(LEFT(F505,2*LEN(F505)-LENB(F505))/$A$1,3),((ROUND(LEFT(F505,2*LEN(F505)-LENB(F505))/$A$1,3))*VLOOKUP(J505,食材表!$A:$B,2,FALSE))),"")</f>
        <v/>
      </c>
      <c r="L505" s="344"/>
      <c r="M505" s="344"/>
      <c r="N505" s="344"/>
      <c r="O505" s="344"/>
      <c r="P505" s="344"/>
      <c r="Q505" s="344"/>
      <c r="R505" s="344"/>
      <c r="S505" s="344"/>
    </row>
    <row r="506" spans="1:19">
      <c r="A506" s="33" t="str">
        <f>"1"&amp;+$B506</f>
        <v>1黑糖豆花</v>
      </c>
      <c r="B506" s="380" t="s">
        <v>1058</v>
      </c>
      <c r="C506" s="57" t="s">
        <v>1059</v>
      </c>
      <c r="D506" s="56">
        <v>6</v>
      </c>
      <c r="E506" s="55"/>
      <c r="F506" s="33"/>
      <c r="G506" s="352" t="str">
        <f>B506</f>
        <v>黑糖豆花</v>
      </c>
      <c r="H506" s="91" t="str">
        <f>C506</f>
        <v>豆花</v>
      </c>
      <c r="I506" s="83">
        <f>IFERROR(IF(LEN(D506)=LENB(D506),ROUND(LEFT(D506,2*LEN(D506)-LENB(D506))/$A$1,3),((ROUND(LEFT(D506,2*LEN(D506)-LENB(D506))/$A$1,3))*VLOOKUP(H506,食材表!$A:$B,2,FALSE))),"")</f>
        <v>0.12</v>
      </c>
      <c r="J506" s="91">
        <f>E506</f>
        <v>0</v>
      </c>
      <c r="K506" s="83" t="str">
        <f>IFERROR(IF(LEN(F506)=LENB(F506),ROUND(LEFT(F506,2*LEN(F506)-LENB(F506))/$A$1,3),((ROUND(LEFT(F506,2*LEN(F506)-LENB(F506))/$A$1,3))*VLOOKUP(J506,食材表!$A:$B,2,FALSE))),"")</f>
        <v/>
      </c>
      <c r="L506" s="342">
        <f>IFERROR($I506*VLOOKUP($H506,食材表!$A:C,3,FALSE),0)+IFERROR($I507*VLOOKUP($H507,食材表!$A:C,3,FALSE),0)+IFERROR($I508*VLOOKUP($H508,食材表!$A:C,3,FALSE),0)+IFERROR($K506*VLOOKUP($J506,食材表!$A:C,3,FALSE),0)+IFERROR($K507*VLOOKUP($J507,食材表!$A:C,3,FALSE),0)+IFERROR($K508*VLOOKUP($J508,食材表!$A:C,3,FALSE),0)</f>
        <v>0</v>
      </c>
      <c r="M506" s="342">
        <f>IFERROR($I506*VLOOKUP($H506,食材表!$A:D,4,FALSE),0)+IFERROR($I507*VLOOKUP($H507,食材表!$A:D,4,FALSE),0)+IFERROR($I508*VLOOKUP($H508,食材表!$A:D,4,FALSE),0)+IFERROR($K506*VLOOKUP($J506,食材表!$A:D,4,FALSE),0)+IFERROR($K507*VLOOKUP($J507,食材表!$A:D,4,FALSE),0)+IFERROR($K508*VLOOKUP($J508,食材表!$A:D,4,FALSE),0)</f>
        <v>0.6</v>
      </c>
      <c r="N506" s="342">
        <f>IFERROR($I506*VLOOKUP($H506,食材表!$A:E,5,FALSE),0)+IFERROR($I507*VLOOKUP($H507,食材表!$A:E,5,FALSE),0)+IFERROR($I508*VLOOKUP($H508,食材表!$A:E,5,FALSE),0)+IFERROR($K506*VLOOKUP($J506,食材表!$A:E,5,FALSE),0)+IFERROR($K507*VLOOKUP($J507,食材表!$A:E,5,FALSE),0)+IFERROR($K508*VLOOKUP($J508,食材表!$A:E,5,FALSE),0)</f>
        <v>0</v>
      </c>
      <c r="O506" s="342">
        <f>IFERROR($I506*VLOOKUP($H506,食材表!$A:F,6,FALSE),0)+IFERROR($I507*VLOOKUP($H507,食材表!$A:F,6,FALSE),0)+IFERROR($I508*VLOOKUP($H508,食材表!$A:F,6,FALSE),0)+IFERROR($K506*VLOOKUP($J506,食材表!$A:F,6,FALSE),0)+IFERROR($K507*VLOOKUP($J507,食材表!$A:F,6,FALSE),0)+IFERROR($K508*VLOOKUP($J508,食材表!$A:F,6,FALSE),0)</f>
        <v>0</v>
      </c>
      <c r="P506" s="342">
        <f>IFERROR($I506*VLOOKUP($H506,食材表!$A:G,7,FALSE),0)+IFERROR($I507*VLOOKUP($H507,食材表!$A:G,7,FALSE),0)+IFERROR($I508*VLOOKUP($H508,食材表!$A:G,7,FALSE),0)+IFERROR($K506*VLOOKUP($J506,食材表!$A:G,7,FALSE),0)+IFERROR($K507*VLOOKUP($J507,食材表!$A:G,7,FALSE),0)+IFERROR($K508*VLOOKUP($J508,食材表!$A:G,7,FALSE),0)</f>
        <v>0</v>
      </c>
      <c r="Q506" s="342">
        <f>IFERROR($I506*VLOOKUP($H506,食材表!$A:H,8,FALSE),0)+IFERROR($I507*VLOOKUP($H507,食材表!$A:H,8,FALSE),0)+IFERROR($I508*VLOOKUP($H508,食材表!$A:H,8,FALSE),0)+IFERROR($K506*VLOOKUP($J506,食材表!$A:H,8,FALSE),0)+IFERROR($K507*VLOOKUP($J507,食材表!$A:H,8,FALSE),0)+IFERROR($K508*VLOOKUP($J508,食材表!$A:H,8,FALSE),0)</f>
        <v>0</v>
      </c>
      <c r="R506" s="342">
        <f>IFERROR($I506*VLOOKUP($H506,食材表!$A:I,9,FALSE),0)+IFERROR($I507*VLOOKUP($H507,食材表!$A:I,9,FALSE),0)+IFERROR($I508*VLOOKUP($H508,食材表!$A:I,9,FALSE),0)+IFERROR($K506*VLOOKUP($J506,食材表!$A:I,9,FALSE),0)+IFERROR($K507*VLOOKUP($J507,食材表!$A:I,9,FALSE),0)+IFERROR($K508*VLOOKUP($J508,食材表!$A:I,9,FALSE),0)</f>
        <v>20</v>
      </c>
      <c r="S506" s="342">
        <f>SUM(L506*70+M506*75+N506*120+O506*25+P506*60+Q506*45+R506*4)</f>
        <v>125</v>
      </c>
    </row>
    <row r="507" spans="1:19">
      <c r="A507" s="33" t="str">
        <f>"2"&amp;+$B506</f>
        <v>2黑糖豆花</v>
      </c>
      <c r="B507" s="381"/>
      <c r="C507" s="31" t="s">
        <v>1060</v>
      </c>
      <c r="D507" s="33">
        <v>1</v>
      </c>
      <c r="E507" s="31"/>
      <c r="F507" s="33"/>
      <c r="G507" s="353"/>
      <c r="H507" s="93" t="str">
        <f t="shared" ref="H507:H508" si="352">C507</f>
        <v>熟花生半</v>
      </c>
      <c r="I507" s="86">
        <f>IFERROR(IF(LEN(D507)=LENB(D507),ROUND(LEFT(D507,2*LEN(D507)-LENB(D507))/$A$1,3),((ROUND(LEFT(D507,2*LEN(D507)-LENB(D507))/$A$1,3))*VLOOKUP(H507,食材表!$A:$B,2,FALSE))),"")</f>
        <v>0.02</v>
      </c>
      <c r="J507" s="93">
        <f t="shared" ref="J507:J508" si="353">E507</f>
        <v>0</v>
      </c>
      <c r="K507" s="86" t="str">
        <f>IFERROR(IF(LEN(F507)=LENB(F507),ROUND(LEFT(F507,2*LEN(F507)-LENB(F507))/$A$1,3),((ROUND(LEFT(F507,2*LEN(F507)-LENB(F507))/$A$1,3))*VLOOKUP(J507,食材表!$A:$B,2,FALSE))),"")</f>
        <v/>
      </c>
      <c r="L507" s="343"/>
      <c r="M507" s="343"/>
      <c r="N507" s="343"/>
      <c r="O507" s="343"/>
      <c r="P507" s="343"/>
      <c r="Q507" s="343"/>
      <c r="R507" s="343"/>
      <c r="S507" s="343"/>
    </row>
    <row r="508" spans="1:19">
      <c r="A508" s="33" t="str">
        <f>"3"&amp;+$B506</f>
        <v>3黑糖豆花</v>
      </c>
      <c r="B508" s="382"/>
      <c r="C508" s="28" t="s">
        <v>1032</v>
      </c>
      <c r="D508" s="8">
        <v>1</v>
      </c>
      <c r="E508" s="28"/>
      <c r="F508" s="8"/>
      <c r="G508" s="354"/>
      <c r="H508" s="92" t="str">
        <f t="shared" si="352"/>
        <v>黑糖</v>
      </c>
      <c r="I508" s="84">
        <f>IFERROR(IF(LEN(D508)=LENB(D508),ROUND(LEFT(D508,2*LEN(D508)-LENB(D508))/$A$1,3),((ROUND(LEFT(D508,2*LEN(D508)-LENB(D508))/$A$1,3))*VLOOKUP(H508,食材表!$A:$B,2,FALSE))),"")</f>
        <v>0.02</v>
      </c>
      <c r="J508" s="92">
        <f t="shared" si="353"/>
        <v>0</v>
      </c>
      <c r="K508" s="85" t="str">
        <f>IFERROR(IF(LEN(F508)=LENB(F508),ROUND(LEFT(F508,2*LEN(F508)-LENB(F508))/$A$1,3),((ROUND(LEFT(F508,2*LEN(F508)-LENB(F508))/$A$1,3))*VLOOKUP(J508,食材表!$A:$B,2,FALSE))),"")</f>
        <v/>
      </c>
      <c r="L508" s="344"/>
      <c r="M508" s="344"/>
      <c r="N508" s="344"/>
      <c r="O508" s="344"/>
      <c r="P508" s="344"/>
      <c r="Q508" s="344"/>
      <c r="R508" s="344"/>
      <c r="S508" s="344"/>
    </row>
    <row r="509" spans="1:19">
      <c r="A509" s="33" t="str">
        <f>"1"&amp;+$B509</f>
        <v>1綠豆地瓜圓湯</v>
      </c>
      <c r="B509" s="349" t="s">
        <v>1013</v>
      </c>
      <c r="C509" s="60" t="s">
        <v>241</v>
      </c>
      <c r="D509" s="59">
        <v>2</v>
      </c>
      <c r="E509" s="60"/>
      <c r="F509" s="36"/>
      <c r="G509" s="352" t="str">
        <f>B509</f>
        <v>綠豆地瓜圓湯</v>
      </c>
      <c r="H509" s="91" t="str">
        <f>C509</f>
        <v>綠豆</v>
      </c>
      <c r="I509" s="83">
        <f>IFERROR(IF(LEN(D509)=LENB(D509),ROUND(LEFT(D509,2*LEN(D509)-LENB(D509))/$A$1,3),((ROUND(LEFT(D509,2*LEN(D509)-LENB(D509))/$A$1,3))*VLOOKUP(H509,食材表!$A:$B,2,FALSE))),"")</f>
        <v>0.04</v>
      </c>
      <c r="J509" s="91">
        <f>E509</f>
        <v>0</v>
      </c>
      <c r="K509" s="83" t="str">
        <f>IFERROR(IF(LEN(F509)=LENB(F509),ROUND(LEFT(F509,2*LEN(F509)-LENB(F509))/$A$1,3),((ROUND(LEFT(F509,2*LEN(F509)-LENB(F509))/$A$1,3))*VLOOKUP(J509,食材表!$A:$B,2,FALSE))),"")</f>
        <v/>
      </c>
      <c r="L509" s="342">
        <f>IFERROR($I509*VLOOKUP($H509,食材表!$A:C,3,FALSE),0)+IFERROR($I510*VLOOKUP($H510,食材表!$A:C,3,FALSE),0)+IFERROR($I511*VLOOKUP($H511,食材表!$A:C,3,FALSE),0)+IFERROR($K509*VLOOKUP($J509,食材表!$A:C,3,FALSE),0)+IFERROR($K510*VLOOKUP($J510,食材表!$A:C,3,FALSE),0)+IFERROR($K511*VLOOKUP($J511,食材表!$A:C,3,FALSE),0)</f>
        <v>1.6</v>
      </c>
      <c r="M509" s="342">
        <f>IFERROR($I509*VLOOKUP($H509,食材表!$A:D,4,FALSE),0)+IFERROR($I510*VLOOKUP($H510,食材表!$A:D,4,FALSE),0)+IFERROR($I511*VLOOKUP($H511,食材表!$A:D,4,FALSE),0)+IFERROR($K509*VLOOKUP($J509,食材表!$A:D,4,FALSE),0)+IFERROR($K510*VLOOKUP($J510,食材表!$A:D,4,FALSE),0)+IFERROR($K511*VLOOKUP($J511,食材表!$A:D,4,FALSE),0)</f>
        <v>0</v>
      </c>
      <c r="N509" s="342">
        <f>IFERROR($I509*VLOOKUP($H509,食材表!$A:E,5,FALSE),0)+IFERROR($I510*VLOOKUP($H510,食材表!$A:E,5,FALSE),0)+IFERROR($I511*VLOOKUP($H511,食材表!$A:E,5,FALSE),0)+IFERROR($K509*VLOOKUP($J509,食材表!$A:E,5,FALSE),0)+IFERROR($K510*VLOOKUP($J510,食材表!$A:E,5,FALSE),0)+IFERROR($K511*VLOOKUP($J511,食材表!$A:E,5,FALSE),0)</f>
        <v>0</v>
      </c>
      <c r="O509" s="342">
        <f>IFERROR($I509*VLOOKUP($H509,食材表!$A:F,6,FALSE),0)+IFERROR($I510*VLOOKUP($H510,食材表!$A:F,6,FALSE),0)+IFERROR($I511*VLOOKUP($H511,食材表!$A:F,6,FALSE),0)+IFERROR($K509*VLOOKUP($J509,食材表!$A:F,6,FALSE),0)+IFERROR($K510*VLOOKUP($J510,食材表!$A:F,6,FALSE),0)+IFERROR($K511*VLOOKUP($J511,食材表!$A:F,6,FALSE),0)</f>
        <v>0</v>
      </c>
      <c r="P509" s="342">
        <f>IFERROR($I509*VLOOKUP($H509,食材表!$A:G,7,FALSE),0)+IFERROR($I510*VLOOKUP($H510,食材表!$A:G,7,FALSE),0)+IFERROR($I511*VLOOKUP($H511,食材表!$A:G,7,FALSE),0)+IFERROR($K509*VLOOKUP($J509,食材表!$A:G,7,FALSE),0)+IFERROR($K510*VLOOKUP($J510,食材表!$A:G,7,FALSE),0)+IFERROR($K511*VLOOKUP($J511,食材表!$A:G,7,FALSE),0)</f>
        <v>0</v>
      </c>
      <c r="Q509" s="342">
        <f>IFERROR($I509*VLOOKUP($H509,食材表!$A:H,8,FALSE),0)+IFERROR($I510*VLOOKUP($H510,食材表!$A:H,8,FALSE),0)+IFERROR($I511*VLOOKUP($H511,食材表!$A:H,8,FALSE),0)+IFERROR($K509*VLOOKUP($J509,食材表!$A:H,8,FALSE),0)+IFERROR($K510*VLOOKUP($J510,食材表!$A:H,8,FALSE),0)+IFERROR($K511*VLOOKUP($J511,食材表!$A:H,8,FALSE),0)</f>
        <v>0</v>
      </c>
      <c r="R509" s="342">
        <f>IFERROR($I509*VLOOKUP($H509,食材表!$A:I,9,FALSE),0)+IFERROR($I510*VLOOKUP($H510,食材表!$A:I,9,FALSE),0)+IFERROR($I511*VLOOKUP($H511,食材表!$A:I,9,FALSE),0)+IFERROR($K509*VLOOKUP($J509,食材表!$A:I,9,FALSE),0)+IFERROR($K510*VLOOKUP($J510,食材表!$A:I,9,FALSE),0)+IFERROR($K511*VLOOKUP($J511,食材表!$A:I,9,FALSE),0)</f>
        <v>20</v>
      </c>
      <c r="S509" s="342">
        <f>SUM(L509*70+M509*75+N509*120+O509*25+P509*60+Q509*45+R509*4)</f>
        <v>192</v>
      </c>
    </row>
    <row r="510" spans="1:19">
      <c r="A510" s="33" t="str">
        <f>"2"&amp;+$B509</f>
        <v>2綠豆地瓜圓湯</v>
      </c>
      <c r="B510" s="350"/>
      <c r="C510" s="22" t="s">
        <v>1014</v>
      </c>
      <c r="D510" s="41">
        <v>0.6</v>
      </c>
      <c r="E510" s="22"/>
      <c r="F510" s="36"/>
      <c r="G510" s="353"/>
      <c r="H510" s="93" t="str">
        <f t="shared" ref="H510:H511" si="354">C510</f>
        <v>地瓜園</v>
      </c>
      <c r="I510" s="86">
        <f>IFERROR(IF(LEN(D510)=LENB(D510),ROUND(LEFT(D510,2*LEN(D510)-LENB(D510))/$A$1,3),((ROUND(LEFT(D510,2*LEN(D510)-LENB(D510))/$A$1,3))*VLOOKUP(H510,食材表!$A:$B,2,FALSE))),"")</f>
        <v>1.2E-2</v>
      </c>
      <c r="J510" s="93">
        <f t="shared" ref="J510:J511" si="355">E510</f>
        <v>0</v>
      </c>
      <c r="K510" s="86" t="str">
        <f>IFERROR(IF(LEN(F510)=LENB(F510),ROUND(LEFT(F510,2*LEN(F510)-LENB(F510))/$A$1,3),((ROUND(LEFT(F510,2*LEN(F510)-LENB(F510))/$A$1,3))*VLOOKUP(J510,食材表!$A:$B,2,FALSE))),"")</f>
        <v/>
      </c>
      <c r="L510" s="343"/>
      <c r="M510" s="343"/>
      <c r="N510" s="343"/>
      <c r="O510" s="343"/>
      <c r="P510" s="343"/>
      <c r="Q510" s="343"/>
      <c r="R510" s="343"/>
      <c r="S510" s="343"/>
    </row>
    <row r="511" spans="1:19">
      <c r="A511" s="33" t="str">
        <f>"3"&amp;+$B509</f>
        <v>3綠豆地瓜圓湯</v>
      </c>
      <c r="B511" s="351"/>
      <c r="C511" s="26" t="s">
        <v>13</v>
      </c>
      <c r="D511" s="37">
        <v>1</v>
      </c>
      <c r="E511" s="26"/>
      <c r="F511" s="37"/>
      <c r="G511" s="354"/>
      <c r="H511" s="92" t="str">
        <f t="shared" si="354"/>
        <v>二砂糖</v>
      </c>
      <c r="I511" s="84">
        <f>IFERROR(IF(LEN(D511)=LENB(D511),ROUND(LEFT(D511,2*LEN(D511)-LENB(D511))/$A$1,3),((ROUND(LEFT(D511,2*LEN(D511)-LENB(D511))/$A$1,3))*VLOOKUP(H511,食材表!$A:$B,2,FALSE))),"")</f>
        <v>0.02</v>
      </c>
      <c r="J511" s="92">
        <f t="shared" si="355"/>
        <v>0</v>
      </c>
      <c r="K511" s="85" t="str">
        <f>IFERROR(IF(LEN(F511)=LENB(F511),ROUND(LEFT(F511,2*LEN(F511)-LENB(F511))/$A$1,3),((ROUND(LEFT(F511,2*LEN(F511)-LENB(F511))/$A$1,3))*VLOOKUP(J511,食材表!$A:$B,2,FALSE))),"")</f>
        <v/>
      </c>
      <c r="L511" s="344"/>
      <c r="M511" s="344"/>
      <c r="N511" s="344"/>
      <c r="O511" s="344"/>
      <c r="P511" s="344"/>
      <c r="Q511" s="344"/>
      <c r="R511" s="344"/>
      <c r="S511" s="344"/>
    </row>
    <row r="512" spans="1:19">
      <c r="A512" s="33" t="str">
        <f>"1"&amp;+$B512</f>
        <v>1綠豆湯</v>
      </c>
      <c r="B512" s="395" t="s">
        <v>970</v>
      </c>
      <c r="C512" s="60" t="s">
        <v>241</v>
      </c>
      <c r="D512" s="59">
        <v>3.5</v>
      </c>
      <c r="E512" s="89"/>
      <c r="F512" s="36"/>
      <c r="G512" s="352" t="str">
        <f>B512</f>
        <v>綠豆湯</v>
      </c>
      <c r="H512" s="91" t="str">
        <f>C512</f>
        <v>綠豆</v>
      </c>
      <c r="I512" s="83">
        <f>IFERROR(IF(LEN(D512)=LENB(D512),ROUND(LEFT(D512,2*LEN(D512)-LENB(D512))/$A$1,3),((ROUND(LEFT(D512,2*LEN(D512)-LENB(D512))/$A$1,3))*VLOOKUP(H512,食材表!$A:$B,2,FALSE))),"")</f>
        <v>7.0000000000000007E-2</v>
      </c>
      <c r="J512" s="91">
        <f>E512</f>
        <v>0</v>
      </c>
      <c r="K512" s="83" t="str">
        <f>IFERROR(IF(LEN(F512)=LENB(F512),ROUND(LEFT(F512,2*LEN(F512)-LENB(F512))/$A$1,3),((ROUND(LEFT(F512,2*LEN(F512)-LENB(F512))/$A$1,3))*VLOOKUP(J512,食材表!$A:$B,2,FALSE))),"")</f>
        <v/>
      </c>
      <c r="L512" s="342">
        <f>IFERROR($I512*VLOOKUP($H512,食材表!$A:C,3,FALSE),0)+IFERROR($I513*VLOOKUP($H513,食材表!$A:C,3,FALSE),0)+IFERROR($I514*VLOOKUP($H514,食材表!$A:C,3,FALSE),0)+IFERROR($K512*VLOOKUP($J512,食材表!$A:C,3,FALSE),0)+IFERROR($K513*VLOOKUP($J513,食材表!$A:C,3,FALSE),0)+IFERROR($K514*VLOOKUP($J514,食材表!$A:C,3,FALSE),0)</f>
        <v>2.8000000000000003</v>
      </c>
      <c r="M512" s="342">
        <f>IFERROR($I512*VLOOKUP($H512,食材表!$A:D,4,FALSE),0)+IFERROR($I513*VLOOKUP($H513,食材表!$A:D,4,FALSE),0)+IFERROR($I514*VLOOKUP($H514,食材表!$A:D,4,FALSE),0)+IFERROR($K512*VLOOKUP($J512,食材表!$A:D,4,FALSE),0)+IFERROR($K513*VLOOKUP($J513,食材表!$A:D,4,FALSE),0)+IFERROR($K514*VLOOKUP($J514,食材表!$A:D,4,FALSE),0)</f>
        <v>0</v>
      </c>
      <c r="N512" s="342">
        <f>IFERROR($I512*VLOOKUP($H512,食材表!$A:E,5,FALSE),0)+IFERROR($I513*VLOOKUP($H513,食材表!$A:E,5,FALSE),0)+IFERROR($I514*VLOOKUP($H514,食材表!$A:E,5,FALSE),0)+IFERROR($K512*VLOOKUP($J512,食材表!$A:E,5,FALSE),0)+IFERROR($K513*VLOOKUP($J513,食材表!$A:E,5,FALSE),0)+IFERROR($K514*VLOOKUP($J514,食材表!$A:E,5,FALSE),0)</f>
        <v>0</v>
      </c>
      <c r="O512" s="342">
        <f>IFERROR($I512*VLOOKUP($H512,食材表!$A:F,6,FALSE),0)+IFERROR($I513*VLOOKUP($H513,食材表!$A:F,6,FALSE),0)+IFERROR($I514*VLOOKUP($H514,食材表!$A:F,6,FALSE),0)+IFERROR($K512*VLOOKUP($J512,食材表!$A:F,6,FALSE),0)+IFERROR($K513*VLOOKUP($J513,食材表!$A:F,6,FALSE),0)+IFERROR($K514*VLOOKUP($J514,食材表!$A:F,6,FALSE),0)</f>
        <v>0</v>
      </c>
      <c r="P512" s="342">
        <f>IFERROR($I512*VLOOKUP($H512,食材表!$A:G,7,FALSE),0)+IFERROR($I513*VLOOKUP($H513,食材表!$A:G,7,FALSE),0)+IFERROR($I514*VLOOKUP($H514,食材表!$A:G,7,FALSE),0)+IFERROR($K512*VLOOKUP($J512,食材表!$A:G,7,FALSE),0)+IFERROR($K513*VLOOKUP($J513,食材表!$A:G,7,FALSE),0)+IFERROR($K514*VLOOKUP($J514,食材表!$A:G,7,FALSE),0)</f>
        <v>0</v>
      </c>
      <c r="Q512" s="342">
        <f>IFERROR($I512*VLOOKUP($H512,食材表!$A:H,8,FALSE),0)+IFERROR($I513*VLOOKUP($H513,食材表!$A:H,8,FALSE),0)+IFERROR($I514*VLOOKUP($H514,食材表!$A:H,8,FALSE),0)+IFERROR($K512*VLOOKUP($J512,食材表!$A:H,8,FALSE),0)+IFERROR($K513*VLOOKUP($J513,食材表!$A:H,8,FALSE),0)+IFERROR($K514*VLOOKUP($J514,食材表!$A:H,8,FALSE),0)</f>
        <v>0</v>
      </c>
      <c r="R512" s="342">
        <f>IFERROR($I512*VLOOKUP($H512,食材表!$A:I,9,FALSE),0)+IFERROR($I513*VLOOKUP($H513,食材表!$A:I,9,FALSE),0)+IFERROR($I514*VLOOKUP($H514,食材表!$A:I,9,FALSE),0)+IFERROR($K512*VLOOKUP($J512,食材表!$A:I,9,FALSE),0)+IFERROR($K513*VLOOKUP($J513,食材表!$A:I,9,FALSE),0)+IFERROR($K514*VLOOKUP($J514,食材表!$A:I,9,FALSE),0)</f>
        <v>20</v>
      </c>
      <c r="S512" s="342">
        <f>SUM(L512*70+M512*75+N512*120+O512*25+P512*60+Q512*45+R512*4)</f>
        <v>276</v>
      </c>
    </row>
    <row r="513" spans="1:19">
      <c r="A513" s="33" t="str">
        <f>"2"&amp;+$B512</f>
        <v>2綠豆湯</v>
      </c>
      <c r="B513" s="383"/>
      <c r="C513" s="22" t="s">
        <v>13</v>
      </c>
      <c r="D513" s="36">
        <v>1</v>
      </c>
      <c r="E513" s="38"/>
      <c r="F513" s="36"/>
      <c r="G513" s="353"/>
      <c r="H513" s="93" t="str">
        <f t="shared" ref="H513:H514" si="356">C513</f>
        <v>二砂糖</v>
      </c>
      <c r="I513" s="86">
        <f>IFERROR(IF(LEN(D513)=LENB(D513),ROUND(LEFT(D513,2*LEN(D513)-LENB(D513))/$A$1,3),((ROUND(LEFT(D513,2*LEN(D513)-LENB(D513))/$A$1,3))*VLOOKUP(H513,食材表!$A:$B,2,FALSE))),"")</f>
        <v>0.02</v>
      </c>
      <c r="J513" s="93">
        <f t="shared" ref="J513:J514" si="357">E513</f>
        <v>0</v>
      </c>
      <c r="K513" s="86" t="str">
        <f>IFERROR(IF(LEN(F513)=LENB(F513),ROUND(LEFT(F513,2*LEN(F513)-LENB(F513))/$A$1,3),((ROUND(LEFT(F513,2*LEN(F513)-LENB(F513))/$A$1,3))*VLOOKUP(J513,食材表!$A:$B,2,FALSE))),"")</f>
        <v/>
      </c>
      <c r="L513" s="343"/>
      <c r="M513" s="343"/>
      <c r="N513" s="343"/>
      <c r="O513" s="343"/>
      <c r="P513" s="343"/>
      <c r="Q513" s="343"/>
      <c r="R513" s="343"/>
      <c r="S513" s="343"/>
    </row>
    <row r="514" spans="1:19">
      <c r="A514" s="33" t="str">
        <f>"3"&amp;+$B512</f>
        <v>3綠豆湯</v>
      </c>
      <c r="B514" s="396"/>
      <c r="C514" s="26"/>
      <c r="D514" s="37"/>
      <c r="E514" s="52"/>
      <c r="F514" s="37"/>
      <c r="G514" s="354"/>
      <c r="H514" s="92">
        <f t="shared" si="356"/>
        <v>0</v>
      </c>
      <c r="I514" s="84" t="str">
        <f>IFERROR(IF(LEN(D514)=LENB(D514),ROUND(LEFT(D514,2*LEN(D514)-LENB(D514))/$A$1,3),((ROUND(LEFT(D514,2*LEN(D514)-LENB(D514))/$A$1,3))*VLOOKUP(H514,食材表!$A:$B,2,FALSE))),"")</f>
        <v/>
      </c>
      <c r="J514" s="92">
        <f t="shared" si="357"/>
        <v>0</v>
      </c>
      <c r="K514" s="85" t="str">
        <f>IFERROR(IF(LEN(F514)=LENB(F514),ROUND(LEFT(F514,2*LEN(F514)-LENB(F514))/$A$1,3),((ROUND(LEFT(F514,2*LEN(F514)-LENB(F514))/$A$1,3))*VLOOKUP(J514,食材表!$A:$B,2,FALSE))),"")</f>
        <v/>
      </c>
      <c r="L514" s="344"/>
      <c r="M514" s="344"/>
      <c r="N514" s="344"/>
      <c r="O514" s="344"/>
      <c r="P514" s="344"/>
      <c r="Q514" s="344"/>
      <c r="R514" s="344"/>
      <c r="S514" s="344"/>
    </row>
    <row r="515" spans="1:19">
      <c r="A515" s="33" t="str">
        <f>"1"&amp;+$B515</f>
        <v>1綠豆薏仁湯</v>
      </c>
      <c r="B515" s="355" t="s">
        <v>240</v>
      </c>
      <c r="C515" s="55" t="s">
        <v>241</v>
      </c>
      <c r="D515" s="56">
        <v>1.3</v>
      </c>
      <c r="E515" s="55"/>
      <c r="F515" s="33"/>
      <c r="G515" s="352" t="str">
        <f>B515</f>
        <v>綠豆薏仁湯</v>
      </c>
      <c r="H515" s="91" t="str">
        <f>C515</f>
        <v>綠豆</v>
      </c>
      <c r="I515" s="83">
        <f>IFERROR(IF(LEN(D515)=LENB(D515),ROUND(LEFT(D515,2*LEN(D515)-LENB(D515))/$A$1,3),((ROUND(LEFT(D515,2*LEN(D515)-LENB(D515))/$A$1,3))*VLOOKUP(H515,食材表!$A:$B,2,FALSE))),"")</f>
        <v>2.5999999999999999E-2</v>
      </c>
      <c r="J515" s="91">
        <f>E515</f>
        <v>0</v>
      </c>
      <c r="K515" s="83" t="str">
        <f>IFERROR(IF(LEN(F515)=LENB(F515),ROUND(LEFT(F515,2*LEN(F515)-LENB(F515))/$A$1,3),((ROUND(LEFT(F515,2*LEN(F515)-LENB(F515))/$A$1,3))*VLOOKUP(J515,食材表!$A:$B,2,FALSE))),"")</f>
        <v/>
      </c>
      <c r="L515" s="342">
        <f>IFERROR($I515*VLOOKUP($H515,食材表!$A:C,3,FALSE),0)+IFERROR($I516*VLOOKUP($H516,食材表!$A:C,3,FALSE),0)+IFERROR($I517*VLOOKUP($H517,食材表!$A:C,3,FALSE),0)+IFERROR($K515*VLOOKUP($J515,食材表!$A:C,3,FALSE),0)+IFERROR($K516*VLOOKUP($J516,食材表!$A:C,3,FALSE),0)+IFERROR($K517*VLOOKUP($J517,食材表!$A:C,3,FALSE),0)</f>
        <v>2.04</v>
      </c>
      <c r="M515" s="342">
        <f>IFERROR($I515*VLOOKUP($H515,食材表!$A:D,4,FALSE),0)+IFERROR($I516*VLOOKUP($H516,食材表!$A:D,4,FALSE),0)+IFERROR($I517*VLOOKUP($H517,食材表!$A:D,4,FALSE),0)+IFERROR($K515*VLOOKUP($J515,食材表!$A:D,4,FALSE),0)+IFERROR($K516*VLOOKUP($J516,食材表!$A:D,4,FALSE),0)+IFERROR($K517*VLOOKUP($J517,食材表!$A:D,4,FALSE),0)</f>
        <v>0</v>
      </c>
      <c r="N515" s="342">
        <f>IFERROR($I515*VLOOKUP($H515,食材表!$A:E,5,FALSE),0)+IFERROR($I516*VLOOKUP($H516,食材表!$A:E,5,FALSE),0)+IFERROR($I517*VLOOKUP($H517,食材表!$A:E,5,FALSE),0)+IFERROR($K515*VLOOKUP($J515,食材表!$A:E,5,FALSE),0)+IFERROR($K516*VLOOKUP($J516,食材表!$A:E,5,FALSE),0)+IFERROR($K517*VLOOKUP($J517,食材表!$A:E,5,FALSE),0)</f>
        <v>0</v>
      </c>
      <c r="O515" s="342">
        <f>IFERROR($I515*VLOOKUP($H515,食材表!$A:F,6,FALSE),0)+IFERROR($I516*VLOOKUP($H516,食材表!$A:F,6,FALSE),0)+IFERROR($I517*VLOOKUP($H517,食材表!$A:F,6,FALSE),0)+IFERROR($K515*VLOOKUP($J515,食材表!$A:F,6,FALSE),0)+IFERROR($K516*VLOOKUP($J516,食材表!$A:F,6,FALSE),0)+IFERROR($K517*VLOOKUP($J517,食材表!$A:F,6,FALSE),0)</f>
        <v>0</v>
      </c>
      <c r="P515" s="342">
        <f>IFERROR($I515*VLOOKUP($H515,食材表!$A:G,7,FALSE),0)+IFERROR($I516*VLOOKUP($H516,食材表!$A:G,7,FALSE),0)+IFERROR($I517*VLOOKUP($H517,食材表!$A:G,7,FALSE),0)+IFERROR($K515*VLOOKUP($J515,食材表!$A:G,7,FALSE),0)+IFERROR($K516*VLOOKUP($J516,食材表!$A:G,7,FALSE),0)+IFERROR($K517*VLOOKUP($J517,食材表!$A:G,7,FALSE),0)</f>
        <v>0</v>
      </c>
      <c r="Q515" s="342">
        <f>IFERROR($I515*VLOOKUP($H515,食材表!$A:H,8,FALSE),0)+IFERROR($I516*VLOOKUP($H516,食材表!$A:H,8,FALSE),0)+IFERROR($I517*VLOOKUP($H517,食材表!$A:H,8,FALSE),0)+IFERROR($K515*VLOOKUP($J515,食材表!$A:H,8,FALSE),0)+IFERROR($K516*VLOOKUP($J516,食材表!$A:H,8,FALSE),0)+IFERROR($K517*VLOOKUP($J517,食材表!$A:H,8,FALSE),0)</f>
        <v>0</v>
      </c>
      <c r="R515" s="342">
        <f>IFERROR($I515*VLOOKUP($H515,食材表!$A:I,9,FALSE),0)+IFERROR($I516*VLOOKUP($H516,食材表!$A:I,9,FALSE),0)+IFERROR($I517*VLOOKUP($H517,食材表!$A:I,9,FALSE),0)+IFERROR($K515*VLOOKUP($J515,食材表!$A:I,9,FALSE),0)+IFERROR($K516*VLOOKUP($J516,食材表!$A:I,9,FALSE),0)+IFERROR($K517*VLOOKUP($J517,食材表!$A:I,9,FALSE),0)</f>
        <v>10</v>
      </c>
      <c r="S515" s="342">
        <f>SUM(L515*70+M515*75+N515*120+O515*25+P515*60+Q515*45+R515*4)</f>
        <v>182.8</v>
      </c>
    </row>
    <row r="516" spans="1:19">
      <c r="A516" s="33" t="str">
        <f>"2"&amp;+$B515</f>
        <v>2綠豆薏仁湯</v>
      </c>
      <c r="B516" s="356"/>
      <c r="C516" s="31" t="s">
        <v>13</v>
      </c>
      <c r="D516" s="33">
        <v>0.5</v>
      </c>
      <c r="E516" s="31"/>
      <c r="F516" s="33"/>
      <c r="G516" s="353"/>
      <c r="H516" s="93" t="str">
        <f t="shared" ref="H516:H517" si="358">C516</f>
        <v>二砂糖</v>
      </c>
      <c r="I516" s="86">
        <f>IFERROR(IF(LEN(D516)=LENB(D516),ROUND(LEFT(D516,2*LEN(D516)-LENB(D516))/$A$1,3),((ROUND(LEFT(D516,2*LEN(D516)-LENB(D516))/$A$1,3))*VLOOKUP(H516,食材表!$A:$B,2,FALSE))),"")</f>
        <v>0.01</v>
      </c>
      <c r="J516" s="93">
        <f t="shared" ref="J516:J517" si="359">E516</f>
        <v>0</v>
      </c>
      <c r="K516" s="86" t="str">
        <f>IFERROR(IF(LEN(F516)=LENB(F516),ROUND(LEFT(F516,2*LEN(F516)-LENB(F516))/$A$1,3),((ROUND(LEFT(F516,2*LEN(F516)-LENB(F516))/$A$1,3))*VLOOKUP(J516,食材表!$A:$B,2,FALSE))),"")</f>
        <v/>
      </c>
      <c r="L516" s="343"/>
      <c r="M516" s="343"/>
      <c r="N516" s="343"/>
      <c r="O516" s="343"/>
      <c r="P516" s="343"/>
      <c r="Q516" s="343"/>
      <c r="R516" s="343"/>
      <c r="S516" s="343"/>
    </row>
    <row r="517" spans="1:19">
      <c r="A517" s="33" t="str">
        <f>"3"&amp;+$B515</f>
        <v>3綠豆薏仁湯</v>
      </c>
      <c r="B517" s="357"/>
      <c r="C517" s="28" t="s">
        <v>76</v>
      </c>
      <c r="D517" s="8">
        <v>1</v>
      </c>
      <c r="E517" s="28"/>
      <c r="F517" s="8"/>
      <c r="G517" s="354"/>
      <c r="H517" s="92" t="str">
        <f t="shared" si="358"/>
        <v>小薏仁</v>
      </c>
      <c r="I517" s="84">
        <f>IFERROR(IF(LEN(D517)=LENB(D517),ROUND(LEFT(D517,2*LEN(D517)-LENB(D517))/$A$1,3),((ROUND(LEFT(D517,2*LEN(D517)-LENB(D517))/$A$1,3))*VLOOKUP(H517,食材表!$A:$B,2,FALSE))),"")</f>
        <v>0.02</v>
      </c>
      <c r="J517" s="92">
        <f t="shared" si="359"/>
        <v>0</v>
      </c>
      <c r="K517" s="85" t="str">
        <f>IFERROR(IF(LEN(F517)=LENB(F517),ROUND(LEFT(F517,2*LEN(F517)-LENB(F517))/$A$1,3),((ROUND(LEFT(F517,2*LEN(F517)-LENB(F517))/$A$1,3))*VLOOKUP(J517,食材表!$A:$B,2,FALSE))),"")</f>
        <v/>
      </c>
      <c r="L517" s="344"/>
      <c r="M517" s="344"/>
      <c r="N517" s="344"/>
      <c r="O517" s="344"/>
      <c r="P517" s="344"/>
      <c r="Q517" s="344"/>
      <c r="R517" s="344"/>
      <c r="S517" s="344"/>
    </row>
    <row r="518" spans="1:19">
      <c r="A518" s="33" t="str">
        <f>"1"&amp;+$B518</f>
        <v>1綜合圓綠豆湯</v>
      </c>
      <c r="B518" s="355" t="s">
        <v>280</v>
      </c>
      <c r="C518" s="57" t="s">
        <v>281</v>
      </c>
      <c r="D518" s="56">
        <v>1</v>
      </c>
      <c r="E518" s="60" t="s">
        <v>13</v>
      </c>
      <c r="F518" s="36">
        <v>1</v>
      </c>
      <c r="G518" s="352" t="str">
        <f>B518</f>
        <v>綜合圓綠豆湯</v>
      </c>
      <c r="H518" s="91" t="str">
        <f>C518</f>
        <v>地瓜圓</v>
      </c>
      <c r="I518" s="83">
        <f>IFERROR(IF(LEN(D518)=LENB(D518),ROUND(LEFT(D518,2*LEN(D518)-LENB(D518))/$A$1,3),((ROUND(LEFT(D518,2*LEN(D518)-LENB(D518))/$A$1,3))*VLOOKUP(H518,食材表!$A:$B,2,FALSE))),"")</f>
        <v>0.02</v>
      </c>
      <c r="J518" s="91" t="str">
        <f>E518</f>
        <v>二砂糖</v>
      </c>
      <c r="K518" s="83">
        <f>IFERROR(IF(LEN(F518)=LENB(F518),ROUND(LEFT(F518,2*LEN(F518)-LENB(F518))/$A$1,3),((ROUND(LEFT(F518,2*LEN(F518)-LENB(F518))/$A$1,3))*VLOOKUP(J518,食材表!$A:$B,2,FALSE))),"")</f>
        <v>0.02</v>
      </c>
      <c r="L518" s="342">
        <f>IFERROR($I518*VLOOKUP($H518,食材表!$A:C,3,FALSE),0)+IFERROR($I519*VLOOKUP($H519,食材表!$A:C,3,FALSE),0)+IFERROR($I520*VLOOKUP($H520,食材表!$A:C,3,FALSE),0)+IFERROR($K518*VLOOKUP($J518,食材表!$A:C,3,FALSE),0)+IFERROR($K519*VLOOKUP($J519,食材表!$A:C,3,FALSE),0)+IFERROR($K520*VLOOKUP($J520,食材表!$A:C,3,FALSE),0)</f>
        <v>2.1333333333333337</v>
      </c>
      <c r="M518" s="342">
        <f>IFERROR($I518*VLOOKUP($H518,食材表!$A:D,4,FALSE),0)+IFERROR($I519*VLOOKUP($H519,食材表!$A:D,4,FALSE),0)+IFERROR($I520*VLOOKUP($H520,食材表!$A:D,4,FALSE),0)+IFERROR($K518*VLOOKUP($J518,食材表!$A:D,4,FALSE),0)+IFERROR($K519*VLOOKUP($J519,食材表!$A:D,4,FALSE),0)+IFERROR($K520*VLOOKUP($J520,食材表!$A:D,4,FALSE),0)</f>
        <v>0</v>
      </c>
      <c r="N518" s="342">
        <f>IFERROR($I518*VLOOKUP($H518,食材表!$A:E,5,FALSE),0)+IFERROR($I519*VLOOKUP($H519,食材表!$A:E,5,FALSE),0)+IFERROR($I520*VLOOKUP($H520,食材表!$A:E,5,FALSE),0)+IFERROR($K518*VLOOKUP($J518,食材表!$A:E,5,FALSE),0)+IFERROR($K519*VLOOKUP($J519,食材表!$A:E,5,FALSE),0)+IFERROR($K520*VLOOKUP($J520,食材表!$A:E,5,FALSE),0)</f>
        <v>0</v>
      </c>
      <c r="O518" s="342">
        <f>IFERROR($I518*VLOOKUP($H518,食材表!$A:F,6,FALSE),0)+IFERROR($I519*VLOOKUP($H519,食材表!$A:F,6,FALSE),0)+IFERROR($I520*VLOOKUP($H520,食材表!$A:F,6,FALSE),0)+IFERROR($K518*VLOOKUP($J518,食材表!$A:F,6,FALSE),0)+IFERROR($K519*VLOOKUP($J519,食材表!$A:F,6,FALSE),0)+IFERROR($K520*VLOOKUP($J520,食材表!$A:F,6,FALSE),0)</f>
        <v>0</v>
      </c>
      <c r="P518" s="342">
        <f>IFERROR($I518*VLOOKUP($H518,食材表!$A:G,7,FALSE),0)+IFERROR($I519*VLOOKUP($H519,食材表!$A:G,7,FALSE),0)+IFERROR($I520*VLOOKUP($H520,食材表!$A:G,7,FALSE),0)+IFERROR($K518*VLOOKUP($J518,食材表!$A:G,7,FALSE),0)+IFERROR($K519*VLOOKUP($J519,食材表!$A:G,7,FALSE),0)+IFERROR($K520*VLOOKUP($J520,食材表!$A:G,7,FALSE),0)</f>
        <v>0</v>
      </c>
      <c r="Q518" s="342">
        <f>IFERROR($I518*VLOOKUP($H518,食材表!$A:H,8,FALSE),0)+IFERROR($I519*VLOOKUP($H519,食材表!$A:H,8,FALSE),0)+IFERROR($I520*VLOOKUP($H520,食材表!$A:H,8,FALSE),0)+IFERROR($K518*VLOOKUP($J518,食材表!$A:H,8,FALSE),0)+IFERROR($K519*VLOOKUP($J519,食材表!$A:H,8,FALSE),0)+IFERROR($K520*VLOOKUP($J520,食材表!$A:H,8,FALSE),0)</f>
        <v>0</v>
      </c>
      <c r="R518" s="342">
        <f>IFERROR($I518*VLOOKUP($H518,食材表!$A:I,9,FALSE),0)+IFERROR($I519*VLOOKUP($H519,食材表!$A:I,9,FALSE),0)+IFERROR($I520*VLOOKUP($H520,食材表!$A:I,9,FALSE),0)+IFERROR($K518*VLOOKUP($J518,食材表!$A:I,9,FALSE),0)+IFERROR($K519*VLOOKUP($J519,食材表!$A:I,9,FALSE),0)+IFERROR($K520*VLOOKUP($J520,食材表!$A:I,9,FALSE),0)</f>
        <v>20</v>
      </c>
      <c r="S518" s="342">
        <f>SUM(L518*70+M518*75+N518*120+O518*25+P518*60+Q518*45+R518*4)</f>
        <v>229.33333333333337</v>
      </c>
    </row>
    <row r="519" spans="1:19">
      <c r="A519" s="33" t="str">
        <f>"2"&amp;+$B518</f>
        <v>2綜合圓綠豆湯</v>
      </c>
      <c r="B519" s="356"/>
      <c r="C519" s="31" t="s">
        <v>282</v>
      </c>
      <c r="D519" s="33">
        <v>1</v>
      </c>
      <c r="E519" s="22"/>
      <c r="F519" s="36"/>
      <c r="G519" s="353"/>
      <c r="H519" s="93" t="str">
        <f t="shared" ref="H519:H520" si="360">C519</f>
        <v>芋圓</v>
      </c>
      <c r="I519" s="86">
        <f>IFERROR(IF(LEN(D519)=LENB(D519),ROUND(LEFT(D519,2*LEN(D519)-LENB(D519))/$A$1,3),((ROUND(LEFT(D519,2*LEN(D519)-LENB(D519))/$A$1,3))*VLOOKUP(H519,食材表!$A:$B,2,FALSE))),"")</f>
        <v>0.02</v>
      </c>
      <c r="J519" s="93">
        <f t="shared" ref="J519:J520" si="361">E519</f>
        <v>0</v>
      </c>
      <c r="K519" s="86" t="str">
        <f>IFERROR(IF(LEN(F519)=LENB(F519),ROUND(LEFT(F519,2*LEN(F519)-LENB(F519))/$A$1,3),((ROUND(LEFT(F519,2*LEN(F519)-LENB(F519))/$A$1,3))*VLOOKUP(J519,食材表!$A:$B,2,FALSE))),"")</f>
        <v/>
      </c>
      <c r="L519" s="343"/>
      <c r="M519" s="343"/>
      <c r="N519" s="343"/>
      <c r="O519" s="343"/>
      <c r="P519" s="343"/>
      <c r="Q519" s="343"/>
      <c r="R519" s="343"/>
      <c r="S519" s="343"/>
    </row>
    <row r="520" spans="1:19">
      <c r="A520" s="33" t="str">
        <f>"3"&amp;+$B518</f>
        <v>3綜合圓綠豆湯</v>
      </c>
      <c r="B520" s="357"/>
      <c r="C520" s="28" t="s">
        <v>241</v>
      </c>
      <c r="D520" s="8">
        <v>1</v>
      </c>
      <c r="E520" s="26"/>
      <c r="F520" s="37"/>
      <c r="G520" s="354"/>
      <c r="H520" s="92" t="str">
        <f t="shared" si="360"/>
        <v>綠豆</v>
      </c>
      <c r="I520" s="84">
        <f>IFERROR(IF(LEN(D520)=LENB(D520),ROUND(LEFT(D520,2*LEN(D520)-LENB(D520))/$A$1,3),((ROUND(LEFT(D520,2*LEN(D520)-LENB(D520))/$A$1,3))*VLOOKUP(H520,食材表!$A:$B,2,FALSE))),"")</f>
        <v>0.02</v>
      </c>
      <c r="J520" s="92">
        <f t="shared" si="361"/>
        <v>0</v>
      </c>
      <c r="K520" s="85" t="str">
        <f>IFERROR(IF(LEN(F520)=LENB(F520),ROUND(LEFT(F520,2*LEN(F520)-LENB(F520))/$A$1,3),((ROUND(LEFT(F520,2*LEN(F520)-LENB(F520))/$A$1,3))*VLOOKUP(J520,食材表!$A:$B,2,FALSE))),"")</f>
        <v/>
      </c>
      <c r="L520" s="344"/>
      <c r="M520" s="344"/>
      <c r="N520" s="344"/>
      <c r="O520" s="344"/>
      <c r="P520" s="344"/>
      <c r="Q520" s="344"/>
      <c r="R520" s="344"/>
      <c r="S520" s="344"/>
    </row>
    <row r="521" spans="1:19">
      <c r="A521" s="33" t="str">
        <f>"1"&amp;+$B521</f>
        <v>1仙草蜜</v>
      </c>
      <c r="B521" s="349" t="s">
        <v>156</v>
      </c>
      <c r="C521" s="60" t="s">
        <v>300</v>
      </c>
      <c r="D521" s="59">
        <v>6</v>
      </c>
      <c r="E521" s="60"/>
      <c r="F521" s="36"/>
      <c r="G521" s="352" t="str">
        <f>B521</f>
        <v>仙草蜜</v>
      </c>
      <c r="H521" s="91" t="str">
        <f>C521</f>
        <v>仙草凍</v>
      </c>
      <c r="I521" s="83">
        <f>IFERROR(IF(LEN(D521)=LENB(D521),ROUND(LEFT(D521,2*LEN(D521)-LENB(D521))/$A$1,3),((ROUND(LEFT(D521,2*LEN(D521)-LENB(D521))/$A$1,3))*VLOOKUP(H521,食材表!$A:$B,2,FALSE))),"")</f>
        <v>0.12</v>
      </c>
      <c r="J521" s="91">
        <f>E521</f>
        <v>0</v>
      </c>
      <c r="K521" s="83" t="str">
        <f>IFERROR(IF(LEN(F521)=LENB(F521),ROUND(LEFT(F521,2*LEN(F521)-LENB(F521))/$A$1,3),((ROUND(LEFT(F521,2*LEN(F521)-LENB(F521))/$A$1,3))*VLOOKUP(J521,食材表!$A:$B,2,FALSE))),"")</f>
        <v/>
      </c>
      <c r="L521" s="342">
        <f>IFERROR($I521*VLOOKUP($H521,食材表!$A:C,3,FALSE),0)+IFERROR($I522*VLOOKUP($H522,食材表!$A:C,3,FALSE),0)+IFERROR($I523*VLOOKUP($H523,食材表!$A:C,3,FALSE),0)+IFERROR($K521*VLOOKUP($J521,食材表!$A:C,3,FALSE),0)+IFERROR($K522*VLOOKUP($J522,食材表!$A:C,3,FALSE),0)+IFERROR($K523*VLOOKUP($J523,食材表!$A:C,3,FALSE),0)</f>
        <v>0</v>
      </c>
      <c r="M521" s="342">
        <f>IFERROR($I521*VLOOKUP($H521,食材表!$A:D,4,FALSE),0)+IFERROR($I522*VLOOKUP($H522,食材表!$A:D,4,FALSE),0)+IFERROR($I523*VLOOKUP($H523,食材表!$A:D,4,FALSE),0)+IFERROR($K521*VLOOKUP($J521,食材表!$A:D,4,FALSE),0)+IFERROR($K522*VLOOKUP($J522,食材表!$A:D,4,FALSE),0)+IFERROR($K523*VLOOKUP($J523,食材表!$A:D,4,FALSE),0)</f>
        <v>0</v>
      </c>
      <c r="N521" s="342">
        <f>IFERROR($I521*VLOOKUP($H521,食材表!$A:E,5,FALSE),0)+IFERROR($I522*VLOOKUP($H522,食材表!$A:E,5,FALSE),0)+IFERROR($I523*VLOOKUP($H523,食材表!$A:E,5,FALSE),0)+IFERROR($K521*VLOOKUP($J521,食材表!$A:E,5,FALSE),0)+IFERROR($K522*VLOOKUP($J522,食材表!$A:E,5,FALSE),0)+IFERROR($K523*VLOOKUP($J523,食材表!$A:E,5,FALSE),0)</f>
        <v>0</v>
      </c>
      <c r="O521" s="342">
        <f>IFERROR($I521*VLOOKUP($H521,食材表!$A:F,6,FALSE),0)+IFERROR($I522*VLOOKUP($H522,食材表!$A:F,6,FALSE),0)+IFERROR($I523*VLOOKUP($H523,食材表!$A:F,6,FALSE),0)+IFERROR($K521*VLOOKUP($J521,食材表!$A:F,6,FALSE),0)+IFERROR($K522*VLOOKUP($J522,食材表!$A:F,6,FALSE),0)+IFERROR($K523*VLOOKUP($J523,食材表!$A:F,6,FALSE),0)</f>
        <v>0</v>
      </c>
      <c r="P521" s="342">
        <f>IFERROR($I521*VLOOKUP($H521,食材表!$A:G,7,FALSE),0)+IFERROR($I522*VLOOKUP($H522,食材表!$A:G,7,FALSE),0)+IFERROR($I523*VLOOKUP($H523,食材表!$A:G,7,FALSE),0)+IFERROR($K521*VLOOKUP($J521,食材表!$A:G,7,FALSE),0)+IFERROR($K522*VLOOKUP($J522,食材表!$A:G,7,FALSE),0)+IFERROR($K523*VLOOKUP($J523,食材表!$A:G,7,FALSE),0)</f>
        <v>0</v>
      </c>
      <c r="Q521" s="342">
        <f>IFERROR($I521*VLOOKUP($H521,食材表!$A:H,8,FALSE),0)+IFERROR($I522*VLOOKUP($H522,食材表!$A:H,8,FALSE),0)+IFERROR($I523*VLOOKUP($H523,食材表!$A:H,8,FALSE),0)+IFERROR($K521*VLOOKUP($J521,食材表!$A:H,8,FALSE),0)+IFERROR($K522*VLOOKUP($J522,食材表!$A:H,8,FALSE),0)+IFERROR($K523*VLOOKUP($J523,食材表!$A:H,8,FALSE),0)</f>
        <v>0</v>
      </c>
      <c r="R521" s="342">
        <f>IFERROR($I521*VLOOKUP($H521,食材表!$A:I,9,FALSE),0)+IFERROR($I522*VLOOKUP($H522,食材表!$A:I,9,FALSE),0)+IFERROR($I523*VLOOKUP($H523,食材表!$A:I,9,FALSE),0)+IFERROR($K521*VLOOKUP($J521,食材表!$A:I,9,FALSE),0)+IFERROR($K522*VLOOKUP($J522,食材表!$A:I,9,FALSE),0)+IFERROR($K523*VLOOKUP($J523,食材表!$A:I,9,FALSE),0)</f>
        <v>20</v>
      </c>
      <c r="S521" s="342">
        <f>SUM(L521*70+M521*75+N521*120+O521*25+P521*60+Q521*45+R521*4)</f>
        <v>80</v>
      </c>
    </row>
    <row r="522" spans="1:19">
      <c r="A522" s="33" t="str">
        <f>"2"&amp;+$B521</f>
        <v>2仙草蜜</v>
      </c>
      <c r="B522" s="350"/>
      <c r="C522" s="22" t="s">
        <v>13</v>
      </c>
      <c r="D522" s="36">
        <v>1</v>
      </c>
      <c r="E522" s="22"/>
      <c r="F522" s="36"/>
      <c r="G522" s="353"/>
      <c r="H522" s="93" t="str">
        <f t="shared" ref="H522:H523" si="362">C522</f>
        <v>二砂糖</v>
      </c>
      <c r="I522" s="86">
        <f>IFERROR(IF(LEN(D522)=LENB(D522),ROUND(LEFT(D522,2*LEN(D522)-LENB(D522))/$A$1,3),((ROUND(LEFT(D522,2*LEN(D522)-LENB(D522))/$A$1,3))*VLOOKUP(H522,食材表!$A:$B,2,FALSE))),"")</f>
        <v>0.02</v>
      </c>
      <c r="J522" s="93">
        <f t="shared" ref="J522:J523" si="363">E522</f>
        <v>0</v>
      </c>
      <c r="K522" s="86" t="str">
        <f>IFERROR(IF(LEN(F522)=LENB(F522),ROUND(LEFT(F522,2*LEN(F522)-LENB(F522))/$A$1,3),((ROUND(LEFT(F522,2*LEN(F522)-LENB(F522))/$A$1,3))*VLOOKUP(J522,食材表!$A:$B,2,FALSE))),"")</f>
        <v/>
      </c>
      <c r="L522" s="343"/>
      <c r="M522" s="343"/>
      <c r="N522" s="343"/>
      <c r="O522" s="343"/>
      <c r="P522" s="343"/>
      <c r="Q522" s="343"/>
      <c r="R522" s="343"/>
      <c r="S522" s="343"/>
    </row>
    <row r="523" spans="1:19">
      <c r="A523" s="33" t="str">
        <f>"3"&amp;+$B521</f>
        <v>3仙草蜜</v>
      </c>
      <c r="B523" s="351"/>
      <c r="C523" s="26"/>
      <c r="D523" s="37"/>
      <c r="E523" s="26"/>
      <c r="F523" s="37"/>
      <c r="G523" s="354"/>
      <c r="H523" s="92">
        <f t="shared" si="362"/>
        <v>0</v>
      </c>
      <c r="I523" s="84" t="str">
        <f>IFERROR(IF(LEN(D523)=LENB(D523),ROUND(LEFT(D523,2*LEN(D523)-LENB(D523))/$A$1,3),((ROUND(LEFT(D523,2*LEN(D523)-LENB(D523))/$A$1,3))*VLOOKUP(H523,食材表!$A:$B,2,FALSE))),"")</f>
        <v/>
      </c>
      <c r="J523" s="92">
        <f t="shared" si="363"/>
        <v>0</v>
      </c>
      <c r="K523" s="85" t="str">
        <f>IFERROR(IF(LEN(F523)=LENB(F523),ROUND(LEFT(F523,2*LEN(F523)-LENB(F523))/$A$1,3),((ROUND(LEFT(F523,2*LEN(F523)-LENB(F523))/$A$1,3))*VLOOKUP(J523,食材表!$A:$B,2,FALSE))),"")</f>
        <v/>
      </c>
      <c r="L523" s="344"/>
      <c r="M523" s="344"/>
      <c r="N523" s="344"/>
      <c r="O523" s="344"/>
      <c r="P523" s="344"/>
      <c r="Q523" s="344"/>
      <c r="R523" s="344"/>
      <c r="S523" s="344"/>
    </row>
    <row r="524" spans="1:19">
      <c r="A524" s="33" t="str">
        <f>"1"&amp;+$B524</f>
        <v>1地瓜甜湯</v>
      </c>
      <c r="B524" s="400" t="s">
        <v>98</v>
      </c>
      <c r="C524" s="55" t="s">
        <v>92</v>
      </c>
      <c r="D524" s="56" t="s">
        <v>973</v>
      </c>
      <c r="E524" s="60"/>
      <c r="F524" s="36"/>
      <c r="G524" s="352" t="str">
        <f>B524</f>
        <v>地瓜甜湯</v>
      </c>
      <c r="H524" s="91" t="str">
        <f>C524</f>
        <v>冬瓜茶磚</v>
      </c>
      <c r="I524" s="83">
        <f>IFERROR(IF(LEN(D524)=LENB(D524),ROUND(LEFT(D524,2*LEN(D524)-LENB(D524))/$A$1,3),((ROUND(LEFT(D524,2*LEN(D524)-LENB(D524))/$A$1,3))*VLOOKUP(H524,食材表!$A:$B,2,FALSE))),"")</f>
        <v>1.1000000000000001E-2</v>
      </c>
      <c r="J524" s="91">
        <f>E524</f>
        <v>0</v>
      </c>
      <c r="K524" s="83" t="str">
        <f>IFERROR(IF(LEN(F524)=LENB(F524),ROUND(LEFT(F524,2*LEN(F524)-LENB(F524))/$A$1,3),((ROUND(LEFT(F524,2*LEN(F524)-LENB(F524))/$A$1,3))*VLOOKUP(J524,食材表!$A:$B,2,FALSE))),"")</f>
        <v/>
      </c>
      <c r="L524" s="342">
        <f>IFERROR($I524*VLOOKUP($H524,食材表!$A:C,3,FALSE),0)+IFERROR($I525*VLOOKUP($H525,食材表!$A:C,3,FALSE),0)+IFERROR($I526*VLOOKUP($H526,食材表!$A:C,3,FALSE),0)+IFERROR($K524*VLOOKUP($J524,食材表!$A:C,3,FALSE),0)+IFERROR($K525*VLOOKUP($J525,食材表!$A:C,3,FALSE),0)+IFERROR($K526*VLOOKUP($J526,食材表!$A:C,3,FALSE),0)</f>
        <v>4.7272727272727275</v>
      </c>
      <c r="M524" s="342">
        <f>IFERROR($I524*VLOOKUP($H524,食材表!$A:D,4,FALSE),0)+IFERROR($I525*VLOOKUP($H525,食材表!$A:D,4,FALSE),0)+IFERROR($I526*VLOOKUP($H526,食材表!$A:D,4,FALSE),0)+IFERROR($K524*VLOOKUP($J524,食材表!$A:D,4,FALSE),0)+IFERROR($K525*VLOOKUP($J525,食材表!$A:D,4,FALSE),0)+IFERROR($K526*VLOOKUP($J526,食材表!$A:D,4,FALSE),0)</f>
        <v>0</v>
      </c>
      <c r="N524" s="342">
        <f>IFERROR($I524*VLOOKUP($H524,食材表!$A:E,5,FALSE),0)+IFERROR($I525*VLOOKUP($H525,食材表!$A:E,5,FALSE),0)+IFERROR($I526*VLOOKUP($H526,食材表!$A:E,5,FALSE),0)+IFERROR($K524*VLOOKUP($J524,食材表!$A:E,5,FALSE),0)+IFERROR($K525*VLOOKUP($J525,食材表!$A:E,5,FALSE),0)+IFERROR($K526*VLOOKUP($J526,食材表!$A:E,5,FALSE),0)</f>
        <v>0</v>
      </c>
      <c r="O524" s="342">
        <f>IFERROR($I524*VLOOKUP($H524,食材表!$A:F,6,FALSE),0)+IFERROR($I525*VLOOKUP($H525,食材表!$A:F,6,FALSE),0)+IFERROR($I526*VLOOKUP($H526,食材表!$A:F,6,FALSE),0)+IFERROR($K524*VLOOKUP($J524,食材表!$A:F,6,FALSE),0)+IFERROR($K525*VLOOKUP($J525,食材表!$A:F,6,FALSE),0)+IFERROR($K526*VLOOKUP($J526,食材表!$A:F,6,FALSE),0)</f>
        <v>0</v>
      </c>
      <c r="P524" s="342">
        <f>IFERROR($I524*VLOOKUP($H524,食材表!$A:G,7,FALSE),0)+IFERROR($I525*VLOOKUP($H525,食材表!$A:G,7,FALSE),0)+IFERROR($I526*VLOOKUP($H526,食材表!$A:G,7,FALSE),0)+IFERROR($K524*VLOOKUP($J524,食材表!$A:G,7,FALSE),0)+IFERROR($K525*VLOOKUP($J525,食材表!$A:G,7,FALSE),0)+IFERROR($K526*VLOOKUP($J526,食材表!$A:G,7,FALSE),0)</f>
        <v>0</v>
      </c>
      <c r="Q524" s="342">
        <f>IFERROR($I524*VLOOKUP($H524,食材表!$A:H,8,FALSE),0)+IFERROR($I525*VLOOKUP($H525,食材表!$A:H,8,FALSE),0)+IFERROR($I526*VLOOKUP($H526,食材表!$A:H,8,FALSE),0)+IFERROR($K524*VLOOKUP($J524,食材表!$A:H,8,FALSE),0)+IFERROR($K525*VLOOKUP($J525,食材表!$A:H,8,FALSE),0)+IFERROR($K526*VLOOKUP($J526,食材表!$A:H,8,FALSE),0)</f>
        <v>0</v>
      </c>
      <c r="R524" s="342">
        <f>IFERROR($I524*VLOOKUP($H524,食材表!$A:I,9,FALSE),0)+IFERROR($I525*VLOOKUP($H525,食材表!$A:I,9,FALSE),0)+IFERROR($I526*VLOOKUP($H526,食材表!$A:I,9,FALSE),0)+IFERROR($K524*VLOOKUP($J524,食材表!$A:I,9,FALSE),0)+IFERROR($K525*VLOOKUP($J525,食材表!$A:I,9,FALSE),0)+IFERROR($K526*VLOOKUP($J526,食材表!$A:I,9,FALSE),0)</f>
        <v>10</v>
      </c>
      <c r="S524" s="342">
        <f>SUM(L524*70+M524*75+N524*120+O524*25+P524*60+Q524*45+R524*4)</f>
        <v>370.90909090909093</v>
      </c>
    </row>
    <row r="525" spans="1:19">
      <c r="A525" s="33" t="str">
        <f>"2"&amp;+$B524</f>
        <v>2地瓜甜湯</v>
      </c>
      <c r="B525" s="401"/>
      <c r="C525" s="31" t="s">
        <v>45</v>
      </c>
      <c r="D525" s="33">
        <v>4</v>
      </c>
      <c r="E525" s="22"/>
      <c r="F525" s="36"/>
      <c r="G525" s="353"/>
      <c r="H525" s="93" t="str">
        <f t="shared" ref="H525:H526" si="364">C525</f>
        <v>地瓜</v>
      </c>
      <c r="I525" s="86">
        <f>13/$A$1</f>
        <v>0.26</v>
      </c>
      <c r="J525" s="93">
        <f t="shared" ref="J525:J526" si="365">E525</f>
        <v>0</v>
      </c>
      <c r="K525" s="86" t="str">
        <f>IFERROR(IF(LEN(F525)=LENB(F525),ROUND(LEFT(F525,2*LEN(F525)-LENB(F525))/$A$1,3),((ROUND(LEFT(F525,2*LEN(F525)-LENB(F525))/$A$1,3))*VLOOKUP(J525,食材表!$A:$B,2,FALSE))),"")</f>
        <v/>
      </c>
      <c r="L525" s="343"/>
      <c r="M525" s="343"/>
      <c r="N525" s="343"/>
      <c r="O525" s="343"/>
      <c r="P525" s="343"/>
      <c r="Q525" s="343"/>
      <c r="R525" s="343"/>
      <c r="S525" s="343"/>
    </row>
    <row r="526" spans="1:19">
      <c r="A526" s="33" t="str">
        <f>"3"&amp;+$B524</f>
        <v>3地瓜甜湯</v>
      </c>
      <c r="B526" s="402"/>
      <c r="C526" s="28"/>
      <c r="D526" s="8"/>
      <c r="E526" s="26"/>
      <c r="F526" s="37"/>
      <c r="G526" s="354"/>
      <c r="H526" s="92">
        <f t="shared" si="364"/>
        <v>0</v>
      </c>
      <c r="I526" s="84" t="str">
        <f>IFERROR(IF(LEN(D526)=LENB(D526),ROUND(LEFT(D526,2*LEN(D526)-LENB(D526))/$A$1,3),((ROUND(LEFT(D526,2*LEN(D526)-LENB(D526))/$A$1,3))*VLOOKUP(H526,食材表!$A:$B,2,FALSE))),"")</f>
        <v/>
      </c>
      <c r="J526" s="92">
        <f t="shared" si="365"/>
        <v>0</v>
      </c>
      <c r="K526" s="85" t="str">
        <f>IFERROR(IF(LEN(F526)=LENB(F526),ROUND(LEFT(F526,2*LEN(F526)-LENB(F526))/$A$1,3),((ROUND(LEFT(F526,2*LEN(F526)-LENB(F526))/$A$1,3))*VLOOKUP(J526,食材表!$A:$B,2,FALSE))),"")</f>
        <v/>
      </c>
      <c r="L526" s="344"/>
      <c r="M526" s="344"/>
      <c r="N526" s="344"/>
      <c r="O526" s="344"/>
      <c r="P526" s="344"/>
      <c r="Q526" s="344"/>
      <c r="R526" s="344"/>
      <c r="S526" s="344"/>
    </row>
    <row r="527" spans="1:19">
      <c r="A527" s="33" t="str">
        <f>"1"&amp;+$B527</f>
        <v>1花生湯</v>
      </c>
      <c r="B527" s="355" t="s">
        <v>980</v>
      </c>
      <c r="C527" s="144" t="s">
        <v>979</v>
      </c>
      <c r="D527" s="145">
        <v>3</v>
      </c>
      <c r="E527" s="146"/>
      <c r="F527" s="146"/>
      <c r="G527" s="352" t="str">
        <f>B527</f>
        <v>花生湯</v>
      </c>
      <c r="H527" s="91" t="str">
        <f>C527</f>
        <v>熟花生仁</v>
      </c>
      <c r="I527" s="83">
        <f>IFERROR(IF(LEN(D527)=LENB(D527),ROUND(LEFT(D527,2*LEN(D527)-LENB(D527))/$A$1,3),((ROUND(LEFT(D527,2*LEN(D527)-LENB(D527))/$A$1,3))*VLOOKUP(H527,食材表!$A:$B,2,FALSE))),"")</f>
        <v>0.06</v>
      </c>
      <c r="J527" s="91">
        <f>E527</f>
        <v>0</v>
      </c>
      <c r="K527" s="83" t="str">
        <f>IFERROR(IF(LEN(F527)=LENB(F527),ROUND(LEFT(F527,2*LEN(F527)-LENB(F527))/$A$1,3),((ROUND(LEFT(F527,2*LEN(F527)-LENB(F527))/$A$1,3))*VLOOKUP(J527,食材表!$A:$B,2,FALSE))),"")</f>
        <v/>
      </c>
      <c r="L527" s="342">
        <f>IFERROR($I527*VLOOKUP($H527,食材表!$A:C,3,FALSE),0)+IFERROR($I528*VLOOKUP($H528,食材表!$A:C,3,FALSE),0)+IFERROR($I529*VLOOKUP($H529,食材表!$A:C,3,FALSE),0)+IFERROR($K527*VLOOKUP($J527,食材表!$A:C,3,FALSE),0)+IFERROR($K528*VLOOKUP($J528,食材表!$A:C,3,FALSE),0)+IFERROR($K529*VLOOKUP($J529,食材表!$A:C,3,FALSE),0)</f>
        <v>0</v>
      </c>
      <c r="M527" s="342">
        <f>IFERROR($I527*VLOOKUP($H527,食材表!$A:D,4,FALSE),0)+IFERROR($I528*VLOOKUP($H528,食材表!$A:D,4,FALSE),0)+IFERROR($I529*VLOOKUP($H529,食材表!$A:D,4,FALSE),0)+IFERROR($K527*VLOOKUP($J527,食材表!$A:D,4,FALSE),0)+IFERROR($K528*VLOOKUP($J528,食材表!$A:D,4,FALSE),0)+IFERROR($K529*VLOOKUP($J529,食材表!$A:D,4,FALSE),0)</f>
        <v>0</v>
      </c>
      <c r="N527" s="342">
        <f>IFERROR($I527*VLOOKUP($H527,食材表!$A:E,5,FALSE),0)+IFERROR($I528*VLOOKUP($H528,食材表!$A:E,5,FALSE),0)+IFERROR($I529*VLOOKUP($H529,食材表!$A:E,5,FALSE),0)+IFERROR($K527*VLOOKUP($J527,食材表!$A:E,5,FALSE),0)+IFERROR($K528*VLOOKUP($J528,食材表!$A:E,5,FALSE),0)+IFERROR($K529*VLOOKUP($J529,食材表!$A:E,5,FALSE),0)</f>
        <v>0</v>
      </c>
      <c r="O527" s="342">
        <f>IFERROR($I527*VLOOKUP($H527,食材表!$A:F,6,FALSE),0)+IFERROR($I528*VLOOKUP($H528,食材表!$A:F,6,FALSE),0)+IFERROR($I529*VLOOKUP($H529,食材表!$A:F,6,FALSE),0)+IFERROR($K527*VLOOKUP($J527,食材表!$A:F,6,FALSE),0)+IFERROR($K528*VLOOKUP($J528,食材表!$A:F,6,FALSE),0)+IFERROR($K529*VLOOKUP($J529,食材表!$A:F,6,FALSE),0)</f>
        <v>0</v>
      </c>
      <c r="P527" s="342">
        <f>IFERROR($I527*VLOOKUP($H527,食材表!$A:G,7,FALSE),0)+IFERROR($I528*VLOOKUP($H528,食材表!$A:G,7,FALSE),0)+IFERROR($I529*VLOOKUP($H529,食材表!$A:G,7,FALSE),0)+IFERROR($K527*VLOOKUP($J527,食材表!$A:G,7,FALSE),0)+IFERROR($K528*VLOOKUP($J528,食材表!$A:G,7,FALSE),0)+IFERROR($K529*VLOOKUP($J529,食材表!$A:G,7,FALSE),0)</f>
        <v>0</v>
      </c>
      <c r="Q527" s="342">
        <f>IFERROR($I527*VLOOKUP($H527,食材表!$A:H,8,FALSE),0)+IFERROR($I528*VLOOKUP($H528,食材表!$A:H,8,FALSE),0)+IFERROR($I529*VLOOKUP($H529,食材表!$A:H,8,FALSE),0)+IFERROR($K527*VLOOKUP($J527,食材表!$A:H,8,FALSE),0)+IFERROR($K528*VLOOKUP($J528,食材表!$A:H,8,FALSE),0)+IFERROR($K529*VLOOKUP($J529,食材表!$A:H,8,FALSE),0)</f>
        <v>0</v>
      </c>
      <c r="R527" s="342">
        <f>IFERROR($I527*VLOOKUP($H527,食材表!$A:I,9,FALSE),0)+IFERROR($I528*VLOOKUP($H528,食材表!$A:I,9,FALSE),0)+IFERROR($I529*VLOOKUP($H529,食材表!$A:I,9,FALSE),0)+IFERROR($K527*VLOOKUP($J527,食材表!$A:I,9,FALSE),0)+IFERROR($K528*VLOOKUP($J528,食材表!$A:I,9,FALSE),0)+IFERROR($K529*VLOOKUP($J529,食材表!$A:I,9,FALSE),0)</f>
        <v>20</v>
      </c>
      <c r="S527" s="342">
        <f>SUM(L527*70+M527*75+N527*120+O527*25+P527*60+Q527*45+R527*4)</f>
        <v>80</v>
      </c>
    </row>
    <row r="528" spans="1:19">
      <c r="A528" s="33" t="str">
        <f>"2"&amp;+$B527</f>
        <v>2花生湯</v>
      </c>
      <c r="B528" s="356"/>
      <c r="C528" s="147" t="s">
        <v>13</v>
      </c>
      <c r="D528" s="148">
        <v>1</v>
      </c>
      <c r="E528" s="149"/>
      <c r="F528" s="149"/>
      <c r="G528" s="353"/>
      <c r="H528" s="93" t="str">
        <f t="shared" ref="H528:H529" si="366">C528</f>
        <v>二砂糖</v>
      </c>
      <c r="I528" s="86">
        <f>IFERROR(IF(LEN(D528)=LENB(D528),ROUND(LEFT(D528,2*LEN(D528)-LENB(D528))/$A$1,3),((ROUND(LEFT(D528,2*LEN(D528)-LENB(D528))/$A$1,3))*VLOOKUP(H528,食材表!$A:$B,2,FALSE))),"")</f>
        <v>0.02</v>
      </c>
      <c r="J528" s="93">
        <f t="shared" ref="J528:J529" si="367">E528</f>
        <v>0</v>
      </c>
      <c r="K528" s="86" t="str">
        <f>IFERROR(IF(LEN(F528)=LENB(F528),ROUND(LEFT(F528,2*LEN(F528)-LENB(F528))/$A$1,3),((ROUND(LEFT(F528,2*LEN(F528)-LENB(F528))/$A$1,3))*VLOOKUP(J528,食材表!$A:$B,2,FALSE))),"")</f>
        <v/>
      </c>
      <c r="L528" s="343"/>
      <c r="M528" s="343"/>
      <c r="N528" s="343"/>
      <c r="O528" s="343"/>
      <c r="P528" s="343"/>
      <c r="Q528" s="343"/>
      <c r="R528" s="343"/>
      <c r="S528" s="343"/>
    </row>
    <row r="529" spans="1:19">
      <c r="A529" s="33" t="str">
        <f>"3"&amp;+$B527</f>
        <v>3花生湯</v>
      </c>
      <c r="B529" s="357"/>
      <c r="C529" s="148"/>
      <c r="D529" s="148"/>
      <c r="E529" s="149"/>
      <c r="F529" s="160"/>
      <c r="G529" s="354"/>
      <c r="H529" s="92">
        <f t="shared" si="366"/>
        <v>0</v>
      </c>
      <c r="I529" s="84" t="str">
        <f>IFERROR(IF(LEN(D529)=LENB(D529),ROUND(LEFT(D529,2*LEN(D529)-LENB(D529))/$A$1,3),((ROUND(LEFT(D529,2*LEN(D529)-LENB(D529))/$A$1,3))*VLOOKUP(H529,食材表!$A:$B,2,FALSE))),"")</f>
        <v/>
      </c>
      <c r="J529" s="92">
        <f t="shared" si="367"/>
        <v>0</v>
      </c>
      <c r="K529" s="85" t="str">
        <f>IFERROR(IF(LEN(F529)=LENB(F529),ROUND(LEFT(F529,2*LEN(F529)-LENB(F529))/$A$1,3),((ROUND(LEFT(F529,2*LEN(F529)-LENB(F529))/$A$1,3))*VLOOKUP(J529,食材表!$A:$B,2,FALSE))),"")</f>
        <v/>
      </c>
      <c r="L529" s="344"/>
      <c r="M529" s="344"/>
      <c r="N529" s="344"/>
      <c r="O529" s="344"/>
      <c r="P529" s="344"/>
      <c r="Q529" s="344"/>
      <c r="R529" s="344"/>
      <c r="S529" s="344"/>
    </row>
    <row r="530" spans="1:19">
      <c r="A530" s="33" t="str">
        <f>"1"&amp;+$B530</f>
        <v>1紅豆薏仁湯</v>
      </c>
      <c r="B530" s="362" t="s">
        <v>70</v>
      </c>
      <c r="C530" s="55" t="s">
        <v>58</v>
      </c>
      <c r="D530" s="56">
        <v>1.2</v>
      </c>
      <c r="E530" s="55"/>
      <c r="F530" s="33"/>
      <c r="G530" s="352" t="str">
        <f>B530</f>
        <v>紅豆薏仁湯</v>
      </c>
      <c r="H530" s="91" t="str">
        <f>C530</f>
        <v>紅豆</v>
      </c>
      <c r="I530" s="83">
        <f>IFERROR(IF(LEN(D530)=LENB(D530),ROUND(LEFT(D530,2*LEN(D530)-LENB(D530))/$A$1,3),((ROUND(LEFT(D530,2*LEN(D530)-LENB(D530))/$A$1,3))*VLOOKUP(H530,食材表!$A:$B,2,FALSE))),"")</f>
        <v>2.4E-2</v>
      </c>
      <c r="J530" s="91">
        <f>E530</f>
        <v>0</v>
      </c>
      <c r="K530" s="83" t="str">
        <f>IFERROR(IF(LEN(F530)=LENB(F530),ROUND(LEFT(F530,2*LEN(F530)-LENB(F530))/$A$1,3),((ROUND(LEFT(F530,2*LEN(F530)-LENB(F530))/$A$1,3))*VLOOKUP(J530,食材表!$A:$B,2,FALSE))),"")</f>
        <v/>
      </c>
      <c r="L530" s="342">
        <f>IFERROR($I530*VLOOKUP($H530,食材表!$A:C,3,FALSE),0)+IFERROR($I531*VLOOKUP($H531,食材表!$A:C,3,FALSE),0)+IFERROR($I532*VLOOKUP($H532,食材表!$A:C,3,FALSE),0)+IFERROR($K530*VLOOKUP($J530,食材表!$A:C,3,FALSE),0)+IFERROR($K531*VLOOKUP($J531,食材表!$A:C,3,FALSE),0)+IFERROR($K532*VLOOKUP($J532,食材表!$A:C,3,FALSE),0)</f>
        <v>1.56</v>
      </c>
      <c r="M530" s="342">
        <f>IFERROR($I530*VLOOKUP($H530,食材表!$A:D,4,FALSE),0)+IFERROR($I531*VLOOKUP($H531,食材表!$A:D,4,FALSE),0)+IFERROR($I532*VLOOKUP($H532,食材表!$A:D,4,FALSE),0)+IFERROR($K530*VLOOKUP($J530,食材表!$A:D,4,FALSE),0)+IFERROR($K531*VLOOKUP($J531,食材表!$A:D,4,FALSE),0)+IFERROR($K532*VLOOKUP($J532,食材表!$A:D,4,FALSE),0)</f>
        <v>0</v>
      </c>
      <c r="N530" s="342">
        <f>IFERROR($I530*VLOOKUP($H530,食材表!$A:E,5,FALSE),0)+IFERROR($I531*VLOOKUP($H531,食材表!$A:E,5,FALSE),0)+IFERROR($I532*VLOOKUP($H532,食材表!$A:E,5,FALSE),0)+IFERROR($K530*VLOOKUP($J530,食材表!$A:E,5,FALSE),0)+IFERROR($K531*VLOOKUP($J531,食材表!$A:E,5,FALSE),0)+IFERROR($K532*VLOOKUP($J532,食材表!$A:E,5,FALSE),0)</f>
        <v>0</v>
      </c>
      <c r="O530" s="342">
        <f>IFERROR($I530*VLOOKUP($H530,食材表!$A:F,6,FALSE),0)+IFERROR($I531*VLOOKUP($H531,食材表!$A:F,6,FALSE),0)+IFERROR($I532*VLOOKUP($H532,食材表!$A:F,6,FALSE),0)+IFERROR($K530*VLOOKUP($J530,食材表!$A:F,6,FALSE),0)+IFERROR($K531*VLOOKUP($J531,食材表!$A:F,6,FALSE),0)+IFERROR($K532*VLOOKUP($J532,食材表!$A:F,6,FALSE),0)</f>
        <v>0</v>
      </c>
      <c r="P530" s="342">
        <f>IFERROR($I530*VLOOKUP($H530,食材表!$A:G,7,FALSE),0)+IFERROR($I531*VLOOKUP($H531,食材表!$A:G,7,FALSE),0)+IFERROR($I532*VLOOKUP($H532,食材表!$A:G,7,FALSE),0)+IFERROR($K530*VLOOKUP($J530,食材表!$A:G,7,FALSE),0)+IFERROR($K531*VLOOKUP($J531,食材表!$A:G,7,FALSE),0)+IFERROR($K532*VLOOKUP($J532,食材表!$A:G,7,FALSE),0)</f>
        <v>0</v>
      </c>
      <c r="Q530" s="342">
        <f>IFERROR($I530*VLOOKUP($H530,食材表!$A:H,8,FALSE),0)+IFERROR($I531*VLOOKUP($H531,食材表!$A:H,8,FALSE),0)+IFERROR($I532*VLOOKUP($H532,食材表!$A:H,8,FALSE),0)+IFERROR($K530*VLOOKUP($J530,食材表!$A:H,8,FALSE),0)+IFERROR($K531*VLOOKUP($J531,食材表!$A:H,8,FALSE),0)+IFERROR($K532*VLOOKUP($J532,食材表!$A:H,8,FALSE),0)</f>
        <v>0</v>
      </c>
      <c r="R530" s="342">
        <f>IFERROR($I530*VLOOKUP($H530,食材表!$A:I,9,FALSE),0)+IFERROR($I531*VLOOKUP($H531,食材表!$A:I,9,FALSE),0)+IFERROR($I532*VLOOKUP($H532,食材表!$A:I,9,FALSE),0)+IFERROR($K530*VLOOKUP($J530,食材表!$A:I,9,FALSE),0)+IFERROR($K531*VLOOKUP($J531,食材表!$A:I,9,FALSE),0)+IFERROR($K532*VLOOKUP($J532,食材表!$A:I,9,FALSE),0)</f>
        <v>20</v>
      </c>
      <c r="S530" s="342">
        <f>SUM(L530*70+M530*75+N530*120+O530*25+P530*60+Q530*45+R530*4)</f>
        <v>189.2</v>
      </c>
    </row>
    <row r="531" spans="1:19">
      <c r="A531" s="33" t="str">
        <f>"2"&amp;+$B530</f>
        <v>2紅豆薏仁湯</v>
      </c>
      <c r="B531" s="363"/>
      <c r="C531" s="31" t="s">
        <v>76</v>
      </c>
      <c r="D531" s="33">
        <v>0.6</v>
      </c>
      <c r="E531" s="31"/>
      <c r="F531" s="33"/>
      <c r="G531" s="353"/>
      <c r="H531" s="93" t="str">
        <f t="shared" ref="H531:H532" si="368">C531</f>
        <v>小薏仁</v>
      </c>
      <c r="I531" s="86">
        <f>IFERROR(IF(LEN(D531)=LENB(D531),ROUND(LEFT(D531,2*LEN(D531)-LENB(D531))/$A$1,3),((ROUND(LEFT(D531,2*LEN(D531)-LENB(D531))/$A$1,3))*VLOOKUP(H531,食材表!$A:$B,2,FALSE))),"")</f>
        <v>1.2E-2</v>
      </c>
      <c r="J531" s="93">
        <f t="shared" ref="J531:J532" si="369">E531</f>
        <v>0</v>
      </c>
      <c r="K531" s="86" t="str">
        <f>IFERROR(IF(LEN(F531)=LENB(F531),ROUND(LEFT(F531,2*LEN(F531)-LENB(F531))/$A$1,3),((ROUND(LEFT(F531,2*LEN(F531)-LENB(F531))/$A$1,3))*VLOOKUP(J531,食材表!$A:$B,2,FALSE))),"")</f>
        <v/>
      </c>
      <c r="L531" s="343"/>
      <c r="M531" s="343"/>
      <c r="N531" s="343"/>
      <c r="O531" s="343"/>
      <c r="P531" s="343"/>
      <c r="Q531" s="343"/>
      <c r="R531" s="343"/>
      <c r="S531" s="343"/>
    </row>
    <row r="532" spans="1:19">
      <c r="A532" s="33" t="str">
        <f>"3"&amp;+$B530</f>
        <v>3紅豆薏仁湯</v>
      </c>
      <c r="B532" s="364"/>
      <c r="C532" s="28" t="s">
        <v>13</v>
      </c>
      <c r="D532" s="8">
        <v>1</v>
      </c>
      <c r="E532" s="28"/>
      <c r="F532" s="8"/>
      <c r="G532" s="354"/>
      <c r="H532" s="92" t="str">
        <f t="shared" si="368"/>
        <v>二砂糖</v>
      </c>
      <c r="I532" s="84">
        <f>IFERROR(IF(LEN(D532)=LENB(D532),ROUND(LEFT(D532,2*LEN(D532)-LENB(D532))/$A$1,3),((ROUND(LEFT(D532,2*LEN(D532)-LENB(D532))/$A$1,3))*VLOOKUP(H532,食材表!$A:$B,2,FALSE))),"")</f>
        <v>0.02</v>
      </c>
      <c r="J532" s="92">
        <f t="shared" si="369"/>
        <v>0</v>
      </c>
      <c r="K532" s="85" t="str">
        <f>IFERROR(IF(LEN(F532)=LENB(F532),ROUND(LEFT(F532,2*LEN(F532)-LENB(F532))/$A$1,3),((ROUND(LEFT(F532,2*LEN(F532)-LENB(F532))/$A$1,3))*VLOOKUP(J532,食材表!$A:$B,2,FALSE))),"")</f>
        <v/>
      </c>
      <c r="L532" s="344"/>
      <c r="M532" s="344"/>
      <c r="N532" s="344"/>
      <c r="O532" s="344"/>
      <c r="P532" s="344"/>
      <c r="Q532" s="344"/>
      <c r="R532" s="344"/>
      <c r="S532" s="344"/>
    </row>
    <row r="533" spans="1:19">
      <c r="A533" s="33" t="str">
        <f>"1"&amp;+$B533</f>
        <v>1紅豆湯</v>
      </c>
      <c r="B533" s="355" t="s">
        <v>1019</v>
      </c>
      <c r="C533" s="55" t="s">
        <v>58</v>
      </c>
      <c r="D533" s="56">
        <v>2.6</v>
      </c>
      <c r="E533" s="55"/>
      <c r="F533" s="33"/>
      <c r="G533" s="352" t="str">
        <f>B533</f>
        <v>紅豆湯</v>
      </c>
      <c r="H533" s="91" t="str">
        <f>C533</f>
        <v>紅豆</v>
      </c>
      <c r="I533" s="83">
        <f>IFERROR(IF(LEN(D533)=LENB(D533),ROUND(LEFT(D533,2*LEN(D533)-LENB(D533))/$A$1,3),((ROUND(LEFT(D533,2*LEN(D533)-LENB(D533))/$A$1,3))*VLOOKUP(H533,食材表!$A:$B,2,FALSE))),"")</f>
        <v>5.1999999999999998E-2</v>
      </c>
      <c r="J533" s="91">
        <f>E533</f>
        <v>0</v>
      </c>
      <c r="K533" s="83" t="str">
        <f>IFERROR(IF(LEN(F533)=LENB(F533),ROUND(LEFT(F533,2*LEN(F533)-LENB(F533))/$A$1,3),((ROUND(LEFT(F533,2*LEN(F533)-LENB(F533))/$A$1,3))*VLOOKUP(J533,食材表!$A:$B,2,FALSE))),"")</f>
        <v/>
      </c>
      <c r="L533" s="342">
        <f>IFERROR($I533*VLOOKUP($H533,食材表!$A:C,3,FALSE),0)+IFERROR($I534*VLOOKUP($H534,食材表!$A:C,3,FALSE),0)+IFERROR($I535*VLOOKUP($H535,食材表!$A:C,3,FALSE),0)+IFERROR($K533*VLOOKUP($J533,食材表!$A:C,3,FALSE),0)+IFERROR($K534*VLOOKUP($J534,食材表!$A:C,3,FALSE),0)+IFERROR($K535*VLOOKUP($J535,食材表!$A:C,3,FALSE),0)</f>
        <v>2.08</v>
      </c>
      <c r="M533" s="342">
        <f>IFERROR($I533*VLOOKUP($H533,食材表!$A:D,4,FALSE),0)+IFERROR($I534*VLOOKUP($H534,食材表!$A:D,4,FALSE),0)+IFERROR($I535*VLOOKUP($H535,食材表!$A:D,4,FALSE),0)+IFERROR($K533*VLOOKUP($J533,食材表!$A:D,4,FALSE),0)+IFERROR($K534*VLOOKUP($J534,食材表!$A:D,4,FALSE),0)+IFERROR($K535*VLOOKUP($J535,食材表!$A:D,4,FALSE),0)</f>
        <v>0</v>
      </c>
      <c r="N533" s="342">
        <f>IFERROR($I533*VLOOKUP($H533,食材表!$A:E,5,FALSE),0)+IFERROR($I534*VLOOKUP($H534,食材表!$A:E,5,FALSE),0)+IFERROR($I535*VLOOKUP($H535,食材表!$A:E,5,FALSE),0)+IFERROR($K533*VLOOKUP($J533,食材表!$A:E,5,FALSE),0)+IFERROR($K534*VLOOKUP($J534,食材表!$A:E,5,FALSE),0)+IFERROR($K535*VLOOKUP($J535,食材表!$A:E,5,FALSE),0)</f>
        <v>0</v>
      </c>
      <c r="O533" s="342">
        <f>IFERROR($I533*VLOOKUP($H533,食材表!$A:F,6,FALSE),0)+IFERROR($I534*VLOOKUP($H534,食材表!$A:F,6,FALSE),0)+IFERROR($I535*VLOOKUP($H535,食材表!$A:F,6,FALSE),0)+IFERROR($K533*VLOOKUP($J533,食材表!$A:F,6,FALSE),0)+IFERROR($K534*VLOOKUP($J534,食材表!$A:F,6,FALSE),0)+IFERROR($K535*VLOOKUP($J535,食材表!$A:F,6,FALSE),0)</f>
        <v>0</v>
      </c>
      <c r="P533" s="342">
        <f>IFERROR($I533*VLOOKUP($H533,食材表!$A:G,7,FALSE),0)+IFERROR($I534*VLOOKUP($H534,食材表!$A:G,7,FALSE),0)+IFERROR($I535*VLOOKUP($H535,食材表!$A:G,7,FALSE),0)+IFERROR($K533*VLOOKUP($J533,食材表!$A:G,7,FALSE),0)+IFERROR($K534*VLOOKUP($J534,食材表!$A:G,7,FALSE),0)+IFERROR($K535*VLOOKUP($J535,食材表!$A:G,7,FALSE),0)</f>
        <v>0</v>
      </c>
      <c r="Q533" s="342">
        <f>IFERROR($I533*VLOOKUP($H533,食材表!$A:H,8,FALSE),0)+IFERROR($I534*VLOOKUP($H534,食材表!$A:H,8,FALSE),0)+IFERROR($I535*VLOOKUP($H535,食材表!$A:H,8,FALSE),0)+IFERROR($K533*VLOOKUP($J533,食材表!$A:H,8,FALSE),0)+IFERROR($K534*VLOOKUP($J534,食材表!$A:H,8,FALSE),0)+IFERROR($K535*VLOOKUP($J535,食材表!$A:H,8,FALSE),0)</f>
        <v>0</v>
      </c>
      <c r="R533" s="342">
        <f>IFERROR($I533*VLOOKUP($H533,食材表!$A:I,9,FALSE),0)+IFERROR($I534*VLOOKUP($H534,食材表!$A:I,9,FALSE),0)+IFERROR($I535*VLOOKUP($H535,食材表!$A:I,9,FALSE),0)+IFERROR($K533*VLOOKUP($J533,食材表!$A:I,9,FALSE),0)+IFERROR($K534*VLOOKUP($J534,食材表!$A:I,9,FALSE),0)+IFERROR($K535*VLOOKUP($J535,食材表!$A:I,9,FALSE),0)</f>
        <v>20</v>
      </c>
      <c r="S533" s="342">
        <f>SUM(L533*70+M533*75+N533*120+O533*25+P533*60+Q533*45+R533*4)</f>
        <v>225.6</v>
      </c>
    </row>
    <row r="534" spans="1:19">
      <c r="A534" s="33" t="str">
        <f>"2"&amp;+$B533</f>
        <v>2紅豆湯</v>
      </c>
      <c r="B534" s="356"/>
      <c r="C534" s="31" t="s">
        <v>13</v>
      </c>
      <c r="D534" s="33">
        <v>1</v>
      </c>
      <c r="E534" s="31"/>
      <c r="F534" s="33"/>
      <c r="G534" s="353"/>
      <c r="H534" s="93" t="str">
        <f t="shared" ref="H534:H535" si="370">C534</f>
        <v>二砂糖</v>
      </c>
      <c r="I534" s="86">
        <f>IFERROR(IF(LEN(D534)=LENB(D534),ROUND(LEFT(D534,2*LEN(D534)-LENB(D534))/$A$1,3),((ROUND(LEFT(D534,2*LEN(D534)-LENB(D534))/$A$1,3))*VLOOKUP(H534,食材表!$A:$B,2,FALSE))),"")</f>
        <v>0.02</v>
      </c>
      <c r="J534" s="93">
        <f t="shared" ref="J534:J535" si="371">E534</f>
        <v>0</v>
      </c>
      <c r="K534" s="86" t="str">
        <f>IFERROR(IF(LEN(F534)=LENB(F534),ROUND(LEFT(F534,2*LEN(F534)-LENB(F534))/$A$1,3),((ROUND(LEFT(F534,2*LEN(F534)-LENB(F534))/$A$1,3))*VLOOKUP(J534,食材表!$A:$B,2,FALSE))),"")</f>
        <v/>
      </c>
      <c r="L534" s="343"/>
      <c r="M534" s="343"/>
      <c r="N534" s="343"/>
      <c r="O534" s="343"/>
      <c r="P534" s="343"/>
      <c r="Q534" s="343"/>
      <c r="R534" s="343"/>
      <c r="S534" s="343"/>
    </row>
    <row r="535" spans="1:19">
      <c r="A535" s="33" t="str">
        <f>"3"&amp;+$B533</f>
        <v>3紅豆湯</v>
      </c>
      <c r="B535" s="357"/>
      <c r="C535" s="28"/>
      <c r="D535" s="8"/>
      <c r="E535" s="28"/>
      <c r="F535" s="8"/>
      <c r="G535" s="354"/>
      <c r="H535" s="92">
        <f t="shared" si="370"/>
        <v>0</v>
      </c>
      <c r="I535" s="84" t="str">
        <f>IFERROR(IF(LEN(D535)=LENB(D535),ROUND(LEFT(D535,2*LEN(D535)-LENB(D535))/$A$1,3),((ROUND(LEFT(D535,2*LEN(D535)-LENB(D535))/$A$1,3))*VLOOKUP(H535,食材表!$A:$B,2,FALSE))),"")</f>
        <v/>
      </c>
      <c r="J535" s="92">
        <f t="shared" si="371"/>
        <v>0</v>
      </c>
      <c r="K535" s="85" t="str">
        <f>IFERROR(IF(LEN(F535)=LENB(F535),ROUND(LEFT(F535,2*LEN(F535)-LENB(F535))/$A$1,3),((ROUND(LEFT(F535,2*LEN(F535)-LENB(F535))/$A$1,3))*VLOOKUP(J535,食材表!$A:$B,2,FALSE))),"")</f>
        <v/>
      </c>
      <c r="L535" s="344"/>
      <c r="M535" s="344"/>
      <c r="N535" s="344"/>
      <c r="O535" s="344"/>
      <c r="P535" s="344"/>
      <c r="Q535" s="344"/>
      <c r="R535" s="344"/>
      <c r="S535" s="344"/>
    </row>
    <row r="536" spans="1:19">
      <c r="A536" s="33" t="str">
        <f>"1"&amp;+$B536</f>
        <v>1粉條甜湯</v>
      </c>
      <c r="B536" s="371" t="s">
        <v>935</v>
      </c>
      <c r="C536" s="90" t="s">
        <v>936</v>
      </c>
      <c r="D536" s="59">
        <v>3</v>
      </c>
      <c r="E536" s="60"/>
      <c r="F536" s="36"/>
      <c r="G536" s="365" t="str">
        <f>B536</f>
        <v>粉條甜湯</v>
      </c>
      <c r="H536" s="91" t="str">
        <f>C536</f>
        <v>粉條</v>
      </c>
      <c r="I536" s="83">
        <f>IFERROR(IF(LEN(D536)=LENB(D536),ROUND(LEFT(D536,2*LEN(D536)-LENB(D536))/$A$1,3),((ROUND(LEFT(D536,2*LEN(D536)-LENB(D536))/$A$1,3))*VLOOKUP(H536,食材表!$A:$B,2,FALSE))),"")</f>
        <v>0.06</v>
      </c>
      <c r="J536" s="91">
        <f>E536</f>
        <v>0</v>
      </c>
      <c r="K536" s="83" t="str">
        <f>IFERROR(IF(LEN(F536)=LENB(F536),ROUND(LEFT(F536,2*LEN(F536)-LENB(F536))/$A$1,3),((ROUND(LEFT(F536,2*LEN(F536)-LENB(F536))/$A$1,3))*VLOOKUP(J536,食材表!$A:$B,2,FALSE))),"")</f>
        <v/>
      </c>
      <c r="L536" s="342">
        <f>IFERROR($I536*VLOOKUP($H536,食材表!$A:C,3,FALSE),0)+IFERROR($I537*VLOOKUP($H537,食材表!$A:C,3,FALSE),0)+IFERROR($I538*VLOOKUP($H538,食材表!$A:C,3,FALSE),0)+IFERROR($K536*VLOOKUP($J536,食材表!$A:C,3,FALSE),0)+IFERROR($K537*VLOOKUP($J537,食材表!$A:C,3,FALSE),0)+IFERROR($K538*VLOOKUP($J538,食材表!$A:C,3,FALSE),0)</f>
        <v>0</v>
      </c>
      <c r="M536" s="342">
        <f>IFERROR($I536*VLOOKUP($H536,食材表!$A:D,4,FALSE),0)+IFERROR($I537*VLOOKUP($H537,食材表!$A:D,4,FALSE),0)+IFERROR($I538*VLOOKUP($H538,食材表!$A:D,4,FALSE),0)+IFERROR($K536*VLOOKUP($J536,食材表!$A:D,4,FALSE),0)+IFERROR($K537*VLOOKUP($J537,食材表!$A:D,4,FALSE),0)+IFERROR($K538*VLOOKUP($J538,食材表!$A:D,4,FALSE),0)</f>
        <v>0</v>
      </c>
      <c r="N536" s="342">
        <f>IFERROR($I536*VLOOKUP($H536,食材表!$A:E,5,FALSE),0)+IFERROR($I537*VLOOKUP($H537,食材表!$A:E,5,FALSE),0)+IFERROR($I538*VLOOKUP($H538,食材表!$A:E,5,FALSE),0)+IFERROR($K536*VLOOKUP($J536,食材表!$A:E,5,FALSE),0)+IFERROR($K537*VLOOKUP($J537,食材表!$A:E,5,FALSE),0)+IFERROR($K538*VLOOKUP($J538,食材表!$A:E,5,FALSE),0)</f>
        <v>0</v>
      </c>
      <c r="O536" s="342">
        <f>IFERROR($I536*VLOOKUP($H536,食材表!$A:F,6,FALSE),0)+IFERROR($I537*VLOOKUP($H537,食材表!$A:F,6,FALSE),0)+IFERROR($I538*VLOOKUP($H538,食材表!$A:F,6,FALSE),0)+IFERROR($K536*VLOOKUP($J536,食材表!$A:F,6,FALSE),0)+IFERROR($K537*VLOOKUP($J537,食材表!$A:F,6,FALSE),0)+IFERROR($K538*VLOOKUP($J538,食材表!$A:F,6,FALSE),0)</f>
        <v>0</v>
      </c>
      <c r="P536" s="342">
        <f>IFERROR($I536*VLOOKUP($H536,食材表!$A:G,7,FALSE),0)+IFERROR($I537*VLOOKUP($H537,食材表!$A:G,7,FALSE),0)+IFERROR($I538*VLOOKUP($H538,食材表!$A:G,7,FALSE),0)+IFERROR($K536*VLOOKUP($J536,食材表!$A:G,7,FALSE),0)+IFERROR($K537*VLOOKUP($J537,食材表!$A:G,7,FALSE),0)+IFERROR($K538*VLOOKUP($J538,食材表!$A:G,7,FALSE),0)</f>
        <v>0</v>
      </c>
      <c r="Q536" s="342">
        <f>IFERROR($I536*VLOOKUP($H536,食材表!$A:H,8,FALSE),0)+IFERROR($I537*VLOOKUP($H537,食材表!$A:H,8,FALSE),0)+IFERROR($I538*VLOOKUP($H538,食材表!$A:H,8,FALSE),0)+IFERROR($K536*VLOOKUP($J536,食材表!$A:H,8,FALSE),0)+IFERROR($K537*VLOOKUP($J537,食材表!$A:H,8,FALSE),0)+IFERROR($K538*VLOOKUP($J538,食材表!$A:H,8,FALSE),0)</f>
        <v>0</v>
      </c>
      <c r="R536" s="342">
        <f>IFERROR($I536*VLOOKUP($H536,食材表!$A:I,9,FALSE),0)+IFERROR($I537*VLOOKUP($H537,食材表!$A:I,9,FALSE),0)+IFERROR($I538*VLOOKUP($H538,食材表!$A:I,9,FALSE),0)+IFERROR($K536*VLOOKUP($J536,食材表!$A:I,9,FALSE),0)+IFERROR($K537*VLOOKUP($J537,食材表!$A:I,9,FALSE),0)+IFERROR($K538*VLOOKUP($J538,食材表!$A:I,9,FALSE),0)</f>
        <v>20</v>
      </c>
      <c r="S536" s="342">
        <f>SUM(L536*70+M536*75+N536*120+O536*25+P536*60+Q536*45+R536*4)</f>
        <v>80</v>
      </c>
    </row>
    <row r="537" spans="1:19">
      <c r="A537" s="33" t="str">
        <f>"2"&amp;+$B536</f>
        <v>2粉條甜湯</v>
      </c>
      <c r="B537" s="372"/>
      <c r="C537" s="143" t="s">
        <v>937</v>
      </c>
      <c r="D537" s="36">
        <v>0.5</v>
      </c>
      <c r="E537" s="22"/>
      <c r="F537" s="36"/>
      <c r="G537" s="366"/>
      <c r="H537" s="93" t="str">
        <f t="shared" ref="H537:H538" si="372">C537</f>
        <v>大紅豆</v>
      </c>
      <c r="I537" s="86">
        <f>IFERROR(IF(LEN(D537)=LENB(D537),ROUND(LEFT(D537,2*LEN(D537)-LENB(D537))/$A$1,3),((ROUND(LEFT(D537,2*LEN(D537)-LENB(D537))/$A$1,3))*VLOOKUP(H537,食材表!$A:$B,2,FALSE))),"")</f>
        <v>0.01</v>
      </c>
      <c r="J537" s="93">
        <f t="shared" ref="J537:J538" si="373">E537</f>
        <v>0</v>
      </c>
      <c r="K537" s="86" t="str">
        <f>IFERROR(IF(LEN(F537)=LENB(F537),ROUND(LEFT(F537,2*LEN(F537)-LENB(F537))/$A$1,3),((ROUND(LEFT(F537,2*LEN(F537)-LENB(F537))/$A$1,3))*VLOOKUP(J537,食材表!$A:$B,2,FALSE))),"")</f>
        <v/>
      </c>
      <c r="L537" s="343"/>
      <c r="M537" s="343"/>
      <c r="N537" s="343"/>
      <c r="O537" s="343"/>
      <c r="P537" s="343"/>
      <c r="Q537" s="343"/>
      <c r="R537" s="343"/>
      <c r="S537" s="343"/>
    </row>
    <row r="538" spans="1:19">
      <c r="A538" s="33" t="str">
        <f>"3"&amp;+$B536</f>
        <v>3粉條甜湯</v>
      </c>
      <c r="B538" s="373"/>
      <c r="C538" s="26" t="s">
        <v>13</v>
      </c>
      <c r="D538" s="37">
        <v>1</v>
      </c>
      <c r="E538" s="26"/>
      <c r="F538" s="37"/>
      <c r="G538" s="367"/>
      <c r="H538" s="92" t="str">
        <f t="shared" si="372"/>
        <v>二砂糖</v>
      </c>
      <c r="I538" s="84">
        <f>IFERROR(IF(LEN(D538)=LENB(D538),ROUND(LEFT(D538,2*LEN(D538)-LENB(D538))/$A$1,3),((ROUND(LEFT(D538,2*LEN(D538)-LENB(D538))/$A$1,3))*VLOOKUP(H538,食材表!$A:$B,2,FALSE))),"")</f>
        <v>0.02</v>
      </c>
      <c r="J538" s="92">
        <f t="shared" si="373"/>
        <v>0</v>
      </c>
      <c r="K538" s="85" t="str">
        <f>IFERROR(IF(LEN(F538)=LENB(F538),ROUND(LEFT(F538,2*LEN(F538)-LENB(F538))/$A$1,3),((ROUND(LEFT(F538,2*LEN(F538)-LENB(F538))/$A$1,3))*VLOOKUP(J538,食材表!$A:$B,2,FALSE))),"")</f>
        <v/>
      </c>
      <c r="L538" s="344"/>
      <c r="M538" s="344"/>
      <c r="N538" s="344"/>
      <c r="O538" s="344"/>
      <c r="P538" s="344"/>
      <c r="Q538" s="344"/>
      <c r="R538" s="344"/>
      <c r="S538" s="344"/>
    </row>
    <row r="539" spans="1:19">
      <c r="A539" s="33" t="str">
        <f>"1"&amp;+$B539</f>
        <v>1冬瓜茶</v>
      </c>
      <c r="B539" s="349" t="s">
        <v>941</v>
      </c>
      <c r="C539" s="38" t="s">
        <v>92</v>
      </c>
      <c r="D539" s="59" t="s">
        <v>130</v>
      </c>
      <c r="E539" s="22"/>
      <c r="F539" s="59"/>
      <c r="G539" s="346" t="str">
        <f>B539</f>
        <v>冬瓜茶</v>
      </c>
      <c r="H539" s="91" t="str">
        <f>C539</f>
        <v>冬瓜茶磚</v>
      </c>
      <c r="I539" s="83">
        <f>LEFT(D539,1)/$A$1</f>
        <v>0.04</v>
      </c>
      <c r="J539" s="91">
        <f>E539</f>
        <v>0</v>
      </c>
      <c r="K539" s="83" t="str">
        <f>IFERROR(IF(LEN(F539)=LENB(F539),ROUND(LEFT(F539,2*LEN(F539)-LENB(F539))/$A$1,3),((ROUND(LEFT(F539,2*LEN(F539)-LENB(F539))/$A$1,3))*VLOOKUP(J539,食材表!$A:$B,2,FALSE))),"")</f>
        <v/>
      </c>
      <c r="L539" s="342">
        <f>IFERROR($I539*VLOOKUP($H539,食材表!$A:C,3,FALSE),0)+IFERROR($I540*VLOOKUP($H540,食材表!$A:C,3,FALSE),0)+IFERROR($I541*VLOOKUP($H541,食材表!$A:C,3,FALSE),0)+IFERROR($K539*VLOOKUP($J539,食材表!$A:C,3,FALSE),0)+IFERROR($K540*VLOOKUP($J540,食材表!$A:C,3,FALSE),0)+IFERROR($K541*VLOOKUP($J541,食材表!$A:C,3,FALSE),0)</f>
        <v>0</v>
      </c>
      <c r="M539" s="342">
        <f>IFERROR($I539*VLOOKUP($H539,食材表!$A:D,4,FALSE),0)+IFERROR($I540*VLOOKUP($H540,食材表!$A:D,4,FALSE),0)+IFERROR($I541*VLOOKUP($H541,食材表!$A:D,4,FALSE),0)+IFERROR($K539*VLOOKUP($J539,食材表!$A:D,4,FALSE),0)+IFERROR($K540*VLOOKUP($J540,食材表!$A:D,4,FALSE),0)+IFERROR($K541*VLOOKUP($J541,食材表!$A:D,4,FALSE),0)</f>
        <v>0</v>
      </c>
      <c r="N539" s="342">
        <f>IFERROR($I539*VLOOKUP($H539,食材表!$A:E,5,FALSE),0)+IFERROR($I540*VLOOKUP($H540,食材表!$A:E,5,FALSE),0)+IFERROR($I541*VLOOKUP($H541,食材表!$A:E,5,FALSE),0)+IFERROR($K539*VLOOKUP($J539,食材表!$A:E,5,FALSE),0)+IFERROR($K540*VLOOKUP($J540,食材表!$A:E,5,FALSE),0)+IFERROR($K541*VLOOKUP($J541,食材表!$A:E,5,FALSE),0)</f>
        <v>0</v>
      </c>
      <c r="O539" s="342">
        <f>IFERROR($I539*VLOOKUP($H539,食材表!$A:F,6,FALSE),0)+IFERROR($I540*VLOOKUP($H540,食材表!$A:F,6,FALSE),0)+IFERROR($I541*VLOOKUP($H541,食材表!$A:F,6,FALSE),0)+IFERROR($K539*VLOOKUP($J539,食材表!$A:F,6,FALSE),0)+IFERROR($K540*VLOOKUP($J540,食材表!$A:F,6,FALSE),0)+IFERROR($K541*VLOOKUP($J541,食材表!$A:F,6,FALSE),0)</f>
        <v>0</v>
      </c>
      <c r="P539" s="342">
        <f>IFERROR($I539*VLOOKUP($H539,食材表!$A:G,7,FALSE),0)+IFERROR($I540*VLOOKUP($H540,食材表!$A:G,7,FALSE),0)+IFERROR($I541*VLOOKUP($H541,食材表!$A:G,7,FALSE),0)+IFERROR($K539*VLOOKUP($J539,食材表!$A:G,7,FALSE),0)+IFERROR($K540*VLOOKUP($J540,食材表!$A:G,7,FALSE),0)+IFERROR($K541*VLOOKUP($J541,食材表!$A:G,7,FALSE),0)</f>
        <v>0</v>
      </c>
      <c r="Q539" s="342">
        <f>IFERROR($I539*VLOOKUP($H539,食材表!$A:H,8,FALSE),0)+IFERROR($I540*VLOOKUP($H540,食材表!$A:H,8,FALSE),0)+IFERROR($I541*VLOOKUP($H541,食材表!$A:H,8,FALSE),0)+IFERROR($K539*VLOOKUP($J539,食材表!$A:H,8,FALSE),0)+IFERROR($K540*VLOOKUP($J540,食材表!$A:H,8,FALSE),0)+IFERROR($K541*VLOOKUP($J541,食材表!$A:H,8,FALSE),0)</f>
        <v>0</v>
      </c>
      <c r="R539" s="342">
        <f>IFERROR($I539*VLOOKUP($H539,食材表!$A:I,9,FALSE),0)+IFERROR($I540*VLOOKUP($H540,食材表!$A:I,9,FALSE),0)+IFERROR($I541*VLOOKUP($H541,食材表!$A:I,9,FALSE),0)+IFERROR($K539*VLOOKUP($J539,食材表!$A:I,9,FALSE),0)+IFERROR($K540*VLOOKUP($J540,食材表!$A:I,9,FALSE),0)+IFERROR($K541*VLOOKUP($J541,食材表!$A:I,9,FALSE),0)</f>
        <v>36.36363636363636</v>
      </c>
      <c r="S539" s="342">
        <f>SUM(L539*70+M539*75+N539*120+O539*25+P539*60+Q539*45+R539*4)</f>
        <v>145.45454545454544</v>
      </c>
    </row>
    <row r="540" spans="1:19">
      <c r="A540" s="33" t="str">
        <f>"2"&amp;+$B539</f>
        <v>2冬瓜茶</v>
      </c>
      <c r="B540" s="350"/>
      <c r="C540" s="22"/>
      <c r="D540" s="36"/>
      <c r="E540" s="22"/>
      <c r="F540" s="36"/>
      <c r="G540" s="347"/>
      <c r="H540" s="93">
        <f t="shared" ref="H540:H541" si="374">C540</f>
        <v>0</v>
      </c>
      <c r="I540" s="86">
        <f>(2*IFERROR(MID(D540,FIND("2L*",D540)+3,1),0)+1*IFERROR(MID(D540,FIND("1L*",D540)+3,2),0))/$A$1</f>
        <v>0</v>
      </c>
      <c r="J540" s="93">
        <f t="shared" ref="J540:J541" si="375">E540</f>
        <v>0</v>
      </c>
      <c r="K540" s="86" t="str">
        <f>IFERROR(IF(LEN(F540)=LENB(F540),ROUND(LEFT(F540,2*LEN(F540)-LENB(F540))/$A$1,3),((ROUND(LEFT(F540,2*LEN(F540)-LENB(F540))/$A$1,3))*VLOOKUP(J540,食材表!$A:$B,2,FALSE))),"")</f>
        <v/>
      </c>
      <c r="L540" s="343"/>
      <c r="M540" s="343"/>
      <c r="N540" s="343"/>
      <c r="O540" s="343"/>
      <c r="P540" s="343"/>
      <c r="Q540" s="343"/>
      <c r="R540" s="343"/>
      <c r="S540" s="343"/>
    </row>
    <row r="541" spans="1:19">
      <c r="A541" s="33" t="str">
        <f>"3"&amp;+$B539</f>
        <v>3冬瓜茶</v>
      </c>
      <c r="B541" s="351"/>
      <c r="C541" s="23"/>
      <c r="D541" s="36"/>
      <c r="E541" s="26"/>
      <c r="F541" s="37"/>
      <c r="G541" s="348"/>
      <c r="H541" s="92">
        <f t="shared" si="374"/>
        <v>0</v>
      </c>
      <c r="I541" s="84" t="str">
        <f>IFERROR(IF(LEN(D541)=LENB(D541),ROUND(LEFT(D541,2*LEN(D541)-LENB(D541))/$A$1,3),((ROUND(LEFT(D541,2*LEN(D541)-LENB(D541))/$A$1,3))*VLOOKUP(H541,食材表!$A:$B,2,FALSE))),"")</f>
        <v/>
      </c>
      <c r="J541" s="92">
        <f t="shared" si="375"/>
        <v>0</v>
      </c>
      <c r="K541" s="85" t="str">
        <f>IFERROR(IF(LEN(F541)=LENB(F541),ROUND(LEFT(F541,2*LEN(F541)-LENB(F541))/$A$1,3),((ROUND(LEFT(F541,2*LEN(F541)-LENB(F541))/$A$1,3))*VLOOKUP(J541,食材表!$A:$B,2,FALSE))),"")</f>
        <v/>
      </c>
      <c r="L541" s="344"/>
      <c r="M541" s="344"/>
      <c r="N541" s="344"/>
      <c r="O541" s="344"/>
      <c r="P541" s="344"/>
      <c r="Q541" s="344"/>
      <c r="R541" s="344"/>
      <c r="S541" s="344"/>
    </row>
    <row r="542" spans="1:19">
      <c r="A542" s="33" t="str">
        <f>"1"&amp;+$B542</f>
        <v>1銀耳蓮子羹</v>
      </c>
      <c r="B542" s="349" t="s">
        <v>1124</v>
      </c>
      <c r="C542" s="55" t="s">
        <v>949</v>
      </c>
      <c r="D542" s="56">
        <v>0.3</v>
      </c>
      <c r="E542" s="55" t="s">
        <v>123</v>
      </c>
      <c r="F542" s="33">
        <v>0.2</v>
      </c>
      <c r="G542" s="346" t="str">
        <f>B542</f>
        <v>銀耳蓮子羹</v>
      </c>
      <c r="H542" s="91" t="str">
        <f>C542</f>
        <v>白木耳</v>
      </c>
      <c r="I542" s="83">
        <f>IFERROR(IF(LEN(D542)=LENB(D542),ROUND(LEFT(D542,2*LEN(D542)-LENB(D542))/$A$1,3),((ROUND(LEFT(D542,2*LEN(D542)-LENB(D542))/$A$1,3))*VLOOKUP(H542,食材表!$A:$B,2,FALSE))),"")</f>
        <v>6.0000000000000001E-3</v>
      </c>
      <c r="J542" s="91" t="str">
        <f>E542</f>
        <v>紅棗</v>
      </c>
      <c r="K542" s="83">
        <f>IFERROR(IF(LEN(F542)=LENB(F542),ROUND(LEFT(F542,2*LEN(F542)-LENB(F542))/$A$1,3),((ROUND(LEFT(F542,2*LEN(F542)-LENB(F542))/$A$1,3))*VLOOKUP(J542,食材表!$A:$B,2,FALSE))),"")</f>
        <v>4.0000000000000001E-3</v>
      </c>
      <c r="L542" s="342">
        <f>IFERROR($I542*VLOOKUP($H542,食材表!$A:C,3,FALSE),0)+IFERROR($I543*VLOOKUP($H543,食材表!$A:C,3,FALSE),0)+IFERROR($I544*VLOOKUP($H544,食材表!$A:C,3,FALSE),0)+IFERROR($K542*VLOOKUP($J542,食材表!$A:C,3,FALSE),0)+IFERROR($K543*VLOOKUP($J543,食材表!$A:C,3,FALSE),0)+IFERROR($K544*VLOOKUP($J544,食材表!$A:C,3,FALSE),0)</f>
        <v>0</v>
      </c>
      <c r="M542" s="342">
        <f>IFERROR($I542*VLOOKUP($H542,食材表!$A:D,4,FALSE),0)+IFERROR($I543*VLOOKUP($H543,食材表!$A:D,4,FALSE),0)+IFERROR($I544*VLOOKUP($H544,食材表!$A:D,4,FALSE),0)+IFERROR($K542*VLOOKUP($J542,食材表!$A:D,4,FALSE),0)+IFERROR($K543*VLOOKUP($J543,食材表!$A:D,4,FALSE),0)+IFERROR($K544*VLOOKUP($J544,食材表!$A:D,4,FALSE),0)</f>
        <v>0</v>
      </c>
      <c r="N542" s="342">
        <f>IFERROR($I542*VLOOKUP($H542,食材表!$A:E,5,FALSE),0)+IFERROR($I543*VLOOKUP($H543,食材表!$A:E,5,FALSE),0)+IFERROR($I544*VLOOKUP($H544,食材表!$A:E,5,FALSE),0)+IFERROR($K542*VLOOKUP($J542,食材表!$A:E,5,FALSE),0)+IFERROR($K543*VLOOKUP($J543,食材表!$A:E,5,FALSE),0)+IFERROR($K544*VLOOKUP($J544,食材表!$A:E,5,FALSE),0)</f>
        <v>0</v>
      </c>
      <c r="O542" s="342">
        <f>IFERROR($I542*VLOOKUP($H542,食材表!$A:F,6,FALSE),0)+IFERROR($I543*VLOOKUP($H543,食材表!$A:F,6,FALSE),0)+IFERROR($I544*VLOOKUP($H544,食材表!$A:F,6,FALSE),0)+IFERROR($K542*VLOOKUP($J542,食材表!$A:F,6,FALSE),0)+IFERROR($K543*VLOOKUP($J543,食材表!$A:F,6,FALSE),0)+IFERROR($K544*VLOOKUP($J544,食材表!$A:F,6,FALSE),0)</f>
        <v>0</v>
      </c>
      <c r="P542" s="342">
        <f>IFERROR($I542*VLOOKUP($H542,食材表!$A:G,7,FALSE),0)+IFERROR($I543*VLOOKUP($H543,食材表!$A:G,7,FALSE),0)+IFERROR($I544*VLOOKUP($H544,食材表!$A:G,7,FALSE),0)+IFERROR($K542*VLOOKUP($J542,食材表!$A:G,7,FALSE),0)+IFERROR($K543*VLOOKUP($J543,食材表!$A:G,7,FALSE),0)+IFERROR($K544*VLOOKUP($J544,食材表!$A:G,7,FALSE),0)</f>
        <v>0</v>
      </c>
      <c r="Q542" s="342">
        <f>IFERROR($I542*VLOOKUP($H542,食材表!$A:H,8,FALSE),0)+IFERROR($I543*VLOOKUP($H543,食材表!$A:H,8,FALSE),0)+IFERROR($I544*VLOOKUP($H544,食材表!$A:H,8,FALSE),0)+IFERROR($K542*VLOOKUP($J542,食材表!$A:H,8,FALSE),0)+IFERROR($K543*VLOOKUP($J543,食材表!$A:H,8,FALSE),0)+IFERROR($K544*VLOOKUP($J544,食材表!$A:H,8,FALSE),0)</f>
        <v>0</v>
      </c>
      <c r="R542" s="342">
        <f>IFERROR($I542*VLOOKUP($H542,食材表!$A:I,9,FALSE),0)+IFERROR($I543*VLOOKUP($H543,食材表!$A:I,9,FALSE),0)+IFERROR($I544*VLOOKUP($H544,食材表!$A:I,9,FALSE),0)+IFERROR($K542*VLOOKUP($J542,食材表!$A:I,9,FALSE),0)+IFERROR($K543*VLOOKUP($J543,食材表!$A:I,9,FALSE),0)+IFERROR($K544*VLOOKUP($J544,食材表!$A:I,9,FALSE),0)</f>
        <v>0</v>
      </c>
      <c r="S542" s="342">
        <f>SUM(L542*70+M542*75+N542*120+O542*25+P542*60+Q542*45+R542*4)</f>
        <v>0</v>
      </c>
    </row>
    <row r="543" spans="1:19">
      <c r="A543" s="33" t="str">
        <f>"2"&amp;+$B542</f>
        <v>2銀耳蓮子羹</v>
      </c>
      <c r="B543" s="350"/>
      <c r="C543" s="31" t="s">
        <v>950</v>
      </c>
      <c r="D543" s="33">
        <v>0.6</v>
      </c>
      <c r="E543" s="31"/>
      <c r="F543" s="33"/>
      <c r="G543" s="347"/>
      <c r="H543" s="93" t="str">
        <f t="shared" ref="H543:H544" si="376">C543</f>
        <v>蓮子</v>
      </c>
      <c r="I543" s="86">
        <f>(2*IFERROR(MID(D543,FIND("2L*",D543)+3,1),0)+1*IFERROR(MID(D543,FIND("1L*",D543)+3,2),0))/$A$1</f>
        <v>0</v>
      </c>
      <c r="J543" s="93">
        <f t="shared" ref="J543:J544" si="377">E543</f>
        <v>0</v>
      </c>
      <c r="K543" s="86" t="str">
        <f>IFERROR(IF(LEN(F543)=LENB(F543),ROUND(LEFT(F543,2*LEN(F543)-LENB(F543))/$A$1,3),((ROUND(LEFT(F543,2*LEN(F543)-LENB(F543))/$A$1,3))*VLOOKUP(J543,食材表!$A:$B,2,FALSE))),"")</f>
        <v/>
      </c>
      <c r="L543" s="343"/>
      <c r="M543" s="343"/>
      <c r="N543" s="343"/>
      <c r="O543" s="343"/>
      <c r="P543" s="343"/>
      <c r="Q543" s="343"/>
      <c r="R543" s="343"/>
      <c r="S543" s="343"/>
    </row>
    <row r="544" spans="1:19">
      <c r="A544" s="33" t="str">
        <f>"3"&amp;+$B542</f>
        <v>3銀耳蓮子羹</v>
      </c>
      <c r="B544" s="351"/>
      <c r="C544" s="28" t="s">
        <v>951</v>
      </c>
      <c r="D544" s="8">
        <v>1</v>
      </c>
      <c r="E544" s="28"/>
      <c r="F544" s="8"/>
      <c r="G544" s="348"/>
      <c r="H544" s="92" t="str">
        <f t="shared" si="376"/>
        <v>冰糖</v>
      </c>
      <c r="I544" s="84">
        <f>IFERROR(IF(LEN(D544)=LENB(D544),ROUND(LEFT(D544,2*LEN(D544)-LENB(D544))/$A$1,3),((ROUND(LEFT(D544,2*LEN(D544)-LENB(D544))/$A$1,3))*VLOOKUP(H544,食材表!$A:$B,2,FALSE))),"")</f>
        <v>0.02</v>
      </c>
      <c r="J544" s="92">
        <f t="shared" si="377"/>
        <v>0</v>
      </c>
      <c r="K544" s="85" t="str">
        <f>IFERROR(IF(LEN(F544)=LENB(F544),ROUND(LEFT(F544,2*LEN(F544)-LENB(F544))/$A$1,3),((ROUND(LEFT(F544,2*LEN(F544)-LENB(F544))/$A$1,3))*VLOOKUP(J544,食材表!$A:$B,2,FALSE))),"")</f>
        <v/>
      </c>
      <c r="L544" s="344"/>
      <c r="M544" s="344"/>
      <c r="N544" s="344"/>
      <c r="O544" s="344"/>
      <c r="P544" s="344"/>
      <c r="Q544" s="344"/>
      <c r="R544" s="344"/>
      <c r="S544" s="344"/>
    </row>
    <row r="545" spans="1:19">
      <c r="A545" s="33" t="str">
        <f>"1"&amp;+$B545</f>
        <v>1銀耳蓮子甜湯</v>
      </c>
      <c r="B545" s="349" t="s">
        <v>948</v>
      </c>
      <c r="C545" s="55" t="s">
        <v>949</v>
      </c>
      <c r="D545" s="56">
        <v>0.3</v>
      </c>
      <c r="E545" s="55" t="s">
        <v>123</v>
      </c>
      <c r="F545" s="33">
        <v>0.2</v>
      </c>
      <c r="G545" s="346" t="str">
        <f>B545</f>
        <v>銀耳蓮子甜湯</v>
      </c>
      <c r="H545" s="91" t="str">
        <f>C545</f>
        <v>白木耳</v>
      </c>
      <c r="I545" s="83">
        <f>IFERROR(IF(LEN(D545)=LENB(D545),ROUND(LEFT(D545,2*LEN(D545)-LENB(D545))/$A$1,3),((ROUND(LEFT(D545,2*LEN(D545)-LENB(D545))/$A$1,3))*VLOOKUP(H545,食材表!$A:$B,2,FALSE))),"")</f>
        <v>6.0000000000000001E-3</v>
      </c>
      <c r="J545" s="91" t="str">
        <f>E545</f>
        <v>紅棗</v>
      </c>
      <c r="K545" s="83">
        <f>IFERROR(IF(LEN(F545)=LENB(F545),ROUND(LEFT(F545,2*LEN(F545)-LENB(F545))/$A$1,3),((ROUND(LEFT(F545,2*LEN(F545)-LENB(F545))/$A$1,3))*VLOOKUP(J545,食材表!$A:$B,2,FALSE))),"")</f>
        <v>4.0000000000000001E-3</v>
      </c>
      <c r="L545" s="342">
        <f>IFERROR($I545*VLOOKUP($H545,食材表!$A:C,3,FALSE),0)+IFERROR($I546*VLOOKUP($H546,食材表!$A:C,3,FALSE),0)+IFERROR($I547*VLOOKUP($H547,食材表!$A:C,3,FALSE),0)+IFERROR($K545*VLOOKUP($J545,食材表!$A:C,3,FALSE),0)+IFERROR($K546*VLOOKUP($J546,食材表!$A:C,3,FALSE),0)+IFERROR($K547*VLOOKUP($J547,食材表!$A:C,3,FALSE),0)</f>
        <v>0</v>
      </c>
      <c r="M545" s="342">
        <f>IFERROR($I545*VLOOKUP($H545,食材表!$A:D,4,FALSE),0)+IFERROR($I546*VLOOKUP($H546,食材表!$A:D,4,FALSE),0)+IFERROR($I547*VLOOKUP($H547,食材表!$A:D,4,FALSE),0)+IFERROR($K545*VLOOKUP($J545,食材表!$A:D,4,FALSE),0)+IFERROR($K546*VLOOKUP($J546,食材表!$A:D,4,FALSE),0)+IFERROR($K547*VLOOKUP($J547,食材表!$A:D,4,FALSE),0)</f>
        <v>0</v>
      </c>
      <c r="N545" s="342">
        <f>IFERROR($I545*VLOOKUP($H545,食材表!$A:E,5,FALSE),0)+IFERROR($I546*VLOOKUP($H546,食材表!$A:E,5,FALSE),0)+IFERROR($I547*VLOOKUP($H547,食材表!$A:E,5,FALSE),0)+IFERROR($K545*VLOOKUP($J545,食材表!$A:E,5,FALSE),0)+IFERROR($K546*VLOOKUP($J546,食材表!$A:E,5,FALSE),0)+IFERROR($K547*VLOOKUP($J547,食材表!$A:E,5,FALSE),0)</f>
        <v>0</v>
      </c>
      <c r="O545" s="342">
        <f>IFERROR($I545*VLOOKUP($H545,食材表!$A:F,6,FALSE),0)+IFERROR($I546*VLOOKUP($H546,食材表!$A:F,6,FALSE),0)+IFERROR($I547*VLOOKUP($H547,食材表!$A:F,6,FALSE),0)+IFERROR($K545*VLOOKUP($J545,食材表!$A:F,6,FALSE),0)+IFERROR($K546*VLOOKUP($J546,食材表!$A:F,6,FALSE),0)+IFERROR($K547*VLOOKUP($J547,食材表!$A:F,6,FALSE),0)</f>
        <v>0</v>
      </c>
      <c r="P545" s="342">
        <f>IFERROR($I545*VLOOKUP($H545,食材表!$A:G,7,FALSE),0)+IFERROR($I546*VLOOKUP($H546,食材表!$A:G,7,FALSE),0)+IFERROR($I547*VLOOKUP($H547,食材表!$A:G,7,FALSE),0)+IFERROR($K545*VLOOKUP($J545,食材表!$A:G,7,FALSE),0)+IFERROR($K546*VLOOKUP($J546,食材表!$A:G,7,FALSE),0)+IFERROR($K547*VLOOKUP($J547,食材表!$A:G,7,FALSE),0)</f>
        <v>0</v>
      </c>
      <c r="Q545" s="342">
        <f>IFERROR($I545*VLOOKUP($H545,食材表!$A:H,8,FALSE),0)+IFERROR($I546*VLOOKUP($H546,食材表!$A:H,8,FALSE),0)+IFERROR($I547*VLOOKUP($H547,食材表!$A:H,8,FALSE),0)+IFERROR($K545*VLOOKUP($J545,食材表!$A:H,8,FALSE),0)+IFERROR($K546*VLOOKUP($J546,食材表!$A:H,8,FALSE),0)+IFERROR($K547*VLOOKUP($J547,食材表!$A:H,8,FALSE),0)</f>
        <v>0</v>
      </c>
      <c r="R545" s="342">
        <f>IFERROR($I545*VLOOKUP($H545,食材表!$A:I,9,FALSE),0)+IFERROR($I546*VLOOKUP($H546,食材表!$A:I,9,FALSE),0)+IFERROR($I547*VLOOKUP($H547,食材表!$A:I,9,FALSE),0)+IFERROR($K545*VLOOKUP($J545,食材表!$A:I,9,FALSE),0)+IFERROR($K546*VLOOKUP($J546,食材表!$A:I,9,FALSE),0)+IFERROR($K547*VLOOKUP($J547,食材表!$A:I,9,FALSE),0)</f>
        <v>0</v>
      </c>
      <c r="S545" s="342">
        <f>SUM(L545*70+M545*75+N545*120+O545*25+P545*60+Q545*45+R545*4)</f>
        <v>0</v>
      </c>
    </row>
    <row r="546" spans="1:19">
      <c r="A546" s="33" t="str">
        <f>"2"&amp;+$B545</f>
        <v>2銀耳蓮子甜湯</v>
      </c>
      <c r="B546" s="350"/>
      <c r="C546" s="31" t="s">
        <v>950</v>
      </c>
      <c r="D546" s="33">
        <v>0.6</v>
      </c>
      <c r="E546" s="31"/>
      <c r="F546" s="33"/>
      <c r="G546" s="347"/>
      <c r="H546" s="93" t="str">
        <f t="shared" ref="H546:H547" si="378">C546</f>
        <v>蓮子</v>
      </c>
      <c r="I546" s="86">
        <f>(2*IFERROR(MID(D546,FIND("2L*",D546)+3,1),0)+1*IFERROR(MID(D546,FIND("1L*",D546)+3,2),0))/$A$1</f>
        <v>0</v>
      </c>
      <c r="J546" s="93">
        <f t="shared" ref="J546:J547" si="379">E546</f>
        <v>0</v>
      </c>
      <c r="K546" s="86" t="str">
        <f>IFERROR(IF(LEN(F546)=LENB(F546),ROUND(LEFT(F546,2*LEN(F546)-LENB(F546))/$A$1,3),((ROUND(LEFT(F546,2*LEN(F546)-LENB(F546))/$A$1,3))*VLOOKUP(J546,食材表!$A:$B,2,FALSE))),"")</f>
        <v/>
      </c>
      <c r="L546" s="343"/>
      <c r="M546" s="343"/>
      <c r="N546" s="343"/>
      <c r="O546" s="343"/>
      <c r="P546" s="343"/>
      <c r="Q546" s="343"/>
      <c r="R546" s="343"/>
      <c r="S546" s="343"/>
    </row>
    <row r="547" spans="1:19">
      <c r="A547" s="33" t="str">
        <f>"3"&amp;+$B545</f>
        <v>3銀耳蓮子甜湯</v>
      </c>
      <c r="B547" s="351"/>
      <c r="C547" s="28" t="s">
        <v>951</v>
      </c>
      <c r="D547" s="8">
        <v>1</v>
      </c>
      <c r="E547" s="28"/>
      <c r="F547" s="8"/>
      <c r="G547" s="348"/>
      <c r="H547" s="92" t="str">
        <f t="shared" si="378"/>
        <v>冰糖</v>
      </c>
      <c r="I547" s="84">
        <f>IFERROR(IF(LEN(D547)=LENB(D547),ROUND(LEFT(D547,2*LEN(D547)-LENB(D547))/$A$1,3),((ROUND(LEFT(D547,2*LEN(D547)-LENB(D547))/$A$1,3))*VLOOKUP(H547,食材表!$A:$B,2,FALSE))),"")</f>
        <v>0.02</v>
      </c>
      <c r="J547" s="92">
        <f t="shared" si="379"/>
        <v>0</v>
      </c>
      <c r="K547" s="85" t="str">
        <f>IFERROR(IF(LEN(F547)=LENB(F547),ROUND(LEFT(F547,2*LEN(F547)-LENB(F547))/$A$1,3),((ROUND(LEFT(F547,2*LEN(F547)-LENB(F547))/$A$1,3))*VLOOKUP(J547,食材表!$A:$B,2,FALSE))),"")</f>
        <v/>
      </c>
      <c r="L547" s="344"/>
      <c r="M547" s="344"/>
      <c r="N547" s="344"/>
      <c r="O547" s="344"/>
      <c r="P547" s="344"/>
      <c r="Q547" s="344"/>
      <c r="R547" s="344"/>
      <c r="S547" s="344"/>
    </row>
    <row r="548" spans="1:19">
      <c r="A548" s="33" t="str">
        <f>"1"&amp;+$B548</f>
        <v>1花生仁甜湯</v>
      </c>
      <c r="B548" s="349" t="s">
        <v>1070</v>
      </c>
      <c r="C548" s="60" t="s">
        <v>1071</v>
      </c>
      <c r="D548" s="59">
        <v>3</v>
      </c>
      <c r="E548" s="60" t="s">
        <v>13</v>
      </c>
      <c r="F548" s="36">
        <v>1</v>
      </c>
      <c r="G548" s="352" t="str">
        <f>B548</f>
        <v>花生仁甜湯</v>
      </c>
      <c r="H548" s="91" t="str">
        <f>C548</f>
        <v>花生仁</v>
      </c>
      <c r="I548" s="83">
        <f>IFERROR(IF(LEN(D548)=LENB(D548),ROUND(LEFT(D548,2*LEN(D548)-LENB(D548))/$A$1,3),((ROUND(LEFT(D548,2*LEN(D548)-LENB(D548))/$A$1,3))*VLOOKUP(H548,食材表!$A:$B,2,FALSE))),"")</f>
        <v>0.06</v>
      </c>
      <c r="J548" s="91" t="str">
        <f>E548</f>
        <v>二砂糖</v>
      </c>
      <c r="K548" s="83">
        <f>IFERROR(IF(LEN(F548)=LENB(F548),ROUND(LEFT(F548,2*LEN(F548)-LENB(F548))/$A$1,3),((ROUND(LEFT(F548,2*LEN(F548)-LENB(F548))/$A$1,3))*VLOOKUP(J548,食材表!$A:$B,2,FALSE))),"")</f>
        <v>0.02</v>
      </c>
      <c r="L548" s="342">
        <f>IFERROR($I548*VLOOKUP($H548,食材表!$A:C,3,FALSE),0)+IFERROR($I549*VLOOKUP($H549,食材表!$A:C,3,FALSE),0)+IFERROR($I550*VLOOKUP($H550,食材表!$A:C,3,FALSE),0)+IFERROR($K548*VLOOKUP($J548,食材表!$A:C,3,FALSE),0)+IFERROR($K549*VLOOKUP($J549,食材表!$A:C,3,FALSE),0)+IFERROR($K550*VLOOKUP($J550,食材表!$A:C,3,FALSE),0)</f>
        <v>0</v>
      </c>
      <c r="M548" s="342">
        <f>IFERROR($I548*VLOOKUP($H548,食材表!$A:D,4,FALSE),0)+IFERROR($I549*VLOOKUP($H549,食材表!$A:D,4,FALSE),0)+IFERROR($I550*VLOOKUP($H550,食材表!$A:D,4,FALSE),0)+IFERROR($K548*VLOOKUP($J548,食材表!$A:D,4,FALSE),0)+IFERROR($K549*VLOOKUP($J549,食材表!$A:D,4,FALSE),0)+IFERROR($K550*VLOOKUP($J550,食材表!$A:D,4,FALSE),0)</f>
        <v>0</v>
      </c>
      <c r="N548" s="342">
        <f>IFERROR($I548*VLOOKUP($H548,食材表!$A:E,5,FALSE),0)+IFERROR($I549*VLOOKUP($H549,食材表!$A:E,5,FALSE),0)+IFERROR($I550*VLOOKUP($H550,食材表!$A:E,5,FALSE),0)+IFERROR($K548*VLOOKUP($J548,食材表!$A:E,5,FALSE),0)+IFERROR($K549*VLOOKUP($J549,食材表!$A:E,5,FALSE),0)+IFERROR($K550*VLOOKUP($J550,食材表!$A:E,5,FALSE),0)</f>
        <v>0</v>
      </c>
      <c r="O548" s="342">
        <f>IFERROR($I548*VLOOKUP($H548,食材表!$A:F,6,FALSE),0)+IFERROR($I549*VLOOKUP($H549,食材表!$A:F,6,FALSE),0)+IFERROR($I550*VLOOKUP($H550,食材表!$A:F,6,FALSE),0)+IFERROR($K548*VLOOKUP($J548,食材表!$A:F,6,FALSE),0)+IFERROR($K549*VLOOKUP($J549,食材表!$A:F,6,FALSE),0)+IFERROR($K550*VLOOKUP($J550,食材表!$A:F,6,FALSE),0)</f>
        <v>0</v>
      </c>
      <c r="P548" s="342">
        <f>IFERROR($I548*VLOOKUP($H548,食材表!$A:G,7,FALSE),0)+IFERROR($I549*VLOOKUP($H549,食材表!$A:G,7,FALSE),0)+IFERROR($I550*VLOOKUP($H550,食材表!$A:G,7,FALSE),0)+IFERROR($K548*VLOOKUP($J548,食材表!$A:G,7,FALSE),0)+IFERROR($K549*VLOOKUP($J549,食材表!$A:G,7,FALSE),0)+IFERROR($K550*VLOOKUP($J550,食材表!$A:G,7,FALSE),0)</f>
        <v>0</v>
      </c>
      <c r="Q548" s="342">
        <f>IFERROR($I548*VLOOKUP($H548,食材表!$A:H,8,FALSE),0)+IFERROR($I549*VLOOKUP($H549,食材表!$A:H,8,FALSE),0)+IFERROR($I550*VLOOKUP($H550,食材表!$A:H,8,FALSE),0)+IFERROR($K548*VLOOKUP($J548,食材表!$A:H,8,FALSE),0)+IFERROR($K549*VLOOKUP($J549,食材表!$A:H,8,FALSE),0)+IFERROR($K550*VLOOKUP($J550,食材表!$A:H,8,FALSE),0)</f>
        <v>0</v>
      </c>
      <c r="R548" s="342">
        <f>IFERROR($I548*VLOOKUP($H548,食材表!$A:I,9,FALSE),0)+IFERROR($I549*VLOOKUP($H549,食材表!$A:I,9,FALSE),0)+IFERROR($I550*VLOOKUP($H550,食材表!$A:I,9,FALSE),0)+IFERROR($K548*VLOOKUP($J548,食材表!$A:I,9,FALSE),0)+IFERROR($K549*VLOOKUP($J549,食材表!$A:I,9,FALSE),0)+IFERROR($K550*VLOOKUP($J550,食材表!$A:I,9,FALSE),0)</f>
        <v>20</v>
      </c>
      <c r="S548" s="342">
        <f>SUM(L548*70+M548*75+N548*120+O548*25+P548*60+Q548*45+R548*4)</f>
        <v>80</v>
      </c>
    </row>
    <row r="549" spans="1:19">
      <c r="A549" s="33" t="str">
        <f>"2"&amp;+$B548</f>
        <v>2花生仁甜湯</v>
      </c>
      <c r="B549" s="350"/>
      <c r="C549" s="22" t="s">
        <v>1072</v>
      </c>
      <c r="D549" s="36">
        <v>1</v>
      </c>
      <c r="E549" s="22"/>
      <c r="F549" s="36"/>
      <c r="G549" s="353"/>
      <c r="H549" s="93" t="str">
        <f t="shared" ref="H549:H550" si="380">C549</f>
        <v>燕麥片</v>
      </c>
      <c r="I549" s="86">
        <f>IFERROR(IF(LEN(D549)=LENB(D549),ROUND(LEFT(D549,2*LEN(D549)-LENB(D549))/$A$1,3),((ROUND(LEFT(D549,2*LEN(D549)-LENB(D549))/$A$1,3))*VLOOKUP(H549,食材表!$A:$B,2,FALSE))),"")</f>
        <v>0.02</v>
      </c>
      <c r="J549" s="93">
        <f t="shared" ref="J549:J550" si="381">E549</f>
        <v>0</v>
      </c>
      <c r="K549" s="86" t="str">
        <f>IFERROR(IF(LEN(F549)=LENB(F549),ROUND(LEFT(F549,2*LEN(F549)-LENB(F549))/$A$1,3),((ROUND(LEFT(F549,2*LEN(F549)-LENB(F549))/$A$1,3))*VLOOKUP(J549,食材表!$A:$B,2,FALSE))),"")</f>
        <v/>
      </c>
      <c r="L549" s="343"/>
      <c r="M549" s="343"/>
      <c r="N549" s="343"/>
      <c r="O549" s="343"/>
      <c r="P549" s="343"/>
      <c r="Q549" s="343"/>
      <c r="R549" s="343"/>
      <c r="S549" s="343"/>
    </row>
    <row r="550" spans="1:19">
      <c r="A550" s="33" t="str">
        <f>"3"&amp;+$B548</f>
        <v>3花生仁甜湯</v>
      </c>
      <c r="B550" s="351"/>
      <c r="C550" s="26"/>
      <c r="D550" s="37"/>
      <c r="E550" s="26"/>
      <c r="F550" s="37"/>
      <c r="G550" s="354"/>
      <c r="H550" s="92">
        <f t="shared" si="380"/>
        <v>0</v>
      </c>
      <c r="I550" s="84" t="str">
        <f>IFERROR(IF(LEN(D550)=LENB(D550),ROUND(LEFT(D550,2*LEN(D550)-LENB(D550))/$A$1,3),((ROUND(LEFT(D550,2*LEN(D550)-LENB(D550))/$A$1,3))*VLOOKUP(H550,食材表!$A:$B,2,FALSE))),"")</f>
        <v/>
      </c>
      <c r="J550" s="92">
        <f t="shared" si="381"/>
        <v>0</v>
      </c>
      <c r="K550" s="85" t="str">
        <f>IFERROR(IF(LEN(F550)=LENB(F550),ROUND(LEFT(F550,2*LEN(F550)-LENB(F550))/$A$1,3),((ROUND(LEFT(F550,2*LEN(F550)-LENB(F550))/$A$1,3))*VLOOKUP(J550,食材表!$A:$B,2,FALSE))),"")</f>
        <v/>
      </c>
      <c r="L550" s="344"/>
      <c r="M550" s="344"/>
      <c r="N550" s="344"/>
      <c r="O550" s="344"/>
      <c r="P550" s="344"/>
      <c r="Q550" s="344"/>
      <c r="R550" s="344"/>
      <c r="S550" s="344"/>
    </row>
    <row r="551" spans="1:19">
      <c r="A551" s="33" t="str">
        <f>"1"&amp;+$B551</f>
        <v>1桂圓銀耳甜湯</v>
      </c>
      <c r="B551" s="400" t="s">
        <v>1081</v>
      </c>
      <c r="C551" s="55" t="s">
        <v>1082</v>
      </c>
      <c r="D551" s="56">
        <v>0.3</v>
      </c>
      <c r="E551" s="60" t="s">
        <v>123</v>
      </c>
      <c r="F551" s="36">
        <v>0.2</v>
      </c>
      <c r="G551" s="352" t="str">
        <f t="shared" ref="G551" si="382">B551</f>
        <v>桂圓銀耳甜湯</v>
      </c>
      <c r="H551" s="91" t="str">
        <f>C551</f>
        <v>白木耳</v>
      </c>
      <c r="I551" s="83">
        <f>IFERROR(IF(LEN(D551)=LENB(D551),ROUND(LEFT(D551,2*LEN(D551)-LENB(D551))/$A$1,3),((ROUND(LEFT(D551,2*LEN(D551)-LENB(D551))/$A$1,3))*VLOOKUP(H551,食材表!$A:$B,2,FALSE))),"")</f>
        <v>6.0000000000000001E-3</v>
      </c>
      <c r="J551" s="91" t="str">
        <f>E551</f>
        <v>紅棗</v>
      </c>
      <c r="K551" s="83">
        <f>IFERROR(IF(LEN(F551)=LENB(F551),ROUND(LEFT(F551,2*LEN(F551)-LENB(F551))/$A$1,3),((ROUND(LEFT(F551,2*LEN(F551)-LENB(F551))/$A$1,3))*VLOOKUP(J551,食材表!$A:$B,2,FALSE))),"")</f>
        <v>4.0000000000000001E-3</v>
      </c>
      <c r="L551" s="342">
        <f>IFERROR($I551*VLOOKUP($H551,食材表!$A:C,3,FALSE),0)+IFERROR($I552*VLOOKUP($H552,食材表!$A:C,3,FALSE),0)+IFERROR($I553*VLOOKUP($H553,食材表!$A:C,3,FALSE),0)+IFERROR($K551*VLOOKUP($J551,食材表!$A:C,3,FALSE),0)+IFERROR($K552*VLOOKUP($J552,食材表!$A:C,3,FALSE),0)+IFERROR($K553*VLOOKUP($J553,食材表!$A:C,3,FALSE),0)</f>
        <v>0</v>
      </c>
      <c r="M551" s="342">
        <f>IFERROR($I551*VLOOKUP($H551,食材表!$A:D,4,FALSE),0)+IFERROR($I552*VLOOKUP($H552,食材表!$A:D,4,FALSE),0)+IFERROR($I553*VLOOKUP($H553,食材表!$A:D,4,FALSE),0)+IFERROR($K551*VLOOKUP($J551,食材表!$A:D,4,FALSE),0)+IFERROR($K552*VLOOKUP($J552,食材表!$A:D,4,FALSE),0)+IFERROR($K553*VLOOKUP($J553,食材表!$A:D,4,FALSE),0)</f>
        <v>0</v>
      </c>
      <c r="N551" s="342">
        <f>IFERROR($I551*VLOOKUP($H551,食材表!$A:E,5,FALSE),0)+IFERROR($I552*VLOOKUP($H552,食材表!$A:E,5,FALSE),0)+IFERROR($I553*VLOOKUP($H553,食材表!$A:E,5,FALSE),0)+IFERROR($K551*VLOOKUP($J551,食材表!$A:E,5,FALSE),0)+IFERROR($K552*VLOOKUP($J552,食材表!$A:E,5,FALSE),0)+IFERROR($K553*VLOOKUP($J553,食材表!$A:E,5,FALSE),0)</f>
        <v>0</v>
      </c>
      <c r="O551" s="342">
        <f>IFERROR($I551*VLOOKUP($H551,食材表!$A:F,6,FALSE),0)+IFERROR($I552*VLOOKUP($H552,食材表!$A:F,6,FALSE),0)+IFERROR($I553*VLOOKUP($H553,食材表!$A:F,6,FALSE),0)+IFERROR($K551*VLOOKUP($J551,食材表!$A:F,6,FALSE),0)+IFERROR($K552*VLOOKUP($J552,食材表!$A:F,6,FALSE),0)+IFERROR($K553*VLOOKUP($J553,食材表!$A:F,6,FALSE),0)</f>
        <v>0</v>
      </c>
      <c r="P551" s="342">
        <f>IFERROR($I551*VLOOKUP($H551,食材表!$A:G,7,FALSE),0)+IFERROR($I552*VLOOKUP($H552,食材表!$A:G,7,FALSE),0)+IFERROR($I553*VLOOKUP($H553,食材表!$A:G,7,FALSE),0)+IFERROR($K551*VLOOKUP($J551,食材表!$A:G,7,FALSE),0)+IFERROR($K552*VLOOKUP($J552,食材表!$A:G,7,FALSE),0)+IFERROR($K553*VLOOKUP($J553,食材表!$A:G,7,FALSE),0)</f>
        <v>0</v>
      </c>
      <c r="Q551" s="342">
        <f>IFERROR($I551*VLOOKUP($H551,食材表!$A:H,8,FALSE),0)+IFERROR($I552*VLOOKUP($H552,食材表!$A:H,8,FALSE),0)+IFERROR($I553*VLOOKUP($H553,食材表!$A:H,8,FALSE),0)+IFERROR($K551*VLOOKUP($J551,食材表!$A:H,8,FALSE),0)+IFERROR($K552*VLOOKUP($J552,食材表!$A:H,8,FALSE),0)+IFERROR($K553*VLOOKUP($J553,食材表!$A:H,8,FALSE),0)</f>
        <v>0</v>
      </c>
      <c r="R551" s="342">
        <f>IFERROR($I551*VLOOKUP($H551,食材表!$A:I,9,FALSE),0)+IFERROR($I552*VLOOKUP($H552,食材表!$A:I,9,FALSE),0)+IFERROR($I553*VLOOKUP($H553,食材表!$A:I,9,FALSE),0)+IFERROR($K551*VLOOKUP($J551,食材表!$A:I,9,FALSE),0)+IFERROR($K552*VLOOKUP($J552,食材表!$A:I,9,FALSE),0)+IFERROR($K553*VLOOKUP($J553,食材表!$A:I,9,FALSE),0)</f>
        <v>20</v>
      </c>
      <c r="S551" s="342">
        <f t="shared" ref="S551" si="383">SUM(L551*70+M551*75+N551*120+O551*25+P551*60+Q551*45+R551*4)</f>
        <v>80</v>
      </c>
    </row>
    <row r="552" spans="1:19">
      <c r="A552" s="33" t="str">
        <f>"2"&amp;+$B551</f>
        <v>2桂圓銀耳甜湯</v>
      </c>
      <c r="B552" s="401"/>
      <c r="C552" s="31" t="s">
        <v>1083</v>
      </c>
      <c r="D552" s="33">
        <v>0.6</v>
      </c>
      <c r="E552" s="22"/>
      <c r="F552" s="36"/>
      <c r="G552" s="353"/>
      <c r="H552" s="93" t="str">
        <f>C552</f>
        <v>桂圓</v>
      </c>
      <c r="I552" s="86">
        <f>IFERROR(IF(LEN(D552)=LENB(D552),ROUND(LEFT(D552,2*LEN(D552)-LENB(D552))/$A$1,3),((ROUND(LEFT(D552,2*LEN(D552)-LENB(D552))/$A$1,3))*VLOOKUP(H552,食材表!$A:$B,2,FALSE))),"")</f>
        <v>1.2E-2</v>
      </c>
      <c r="J552" s="93">
        <f>E552</f>
        <v>0</v>
      </c>
      <c r="K552" s="86" t="str">
        <f>IFERROR(IF(LEN(F552)=LENB(F552),ROUND(LEFT(F552,2*LEN(F552)-LENB(F552))/$A$1,3),((ROUND(LEFT(F552,2*LEN(F552)-LENB(F552))/$A$1,3))*VLOOKUP(J552,食材表!$A:$B,2,FALSE))),"")</f>
        <v/>
      </c>
      <c r="L552" s="343"/>
      <c r="M552" s="343"/>
      <c r="N552" s="343"/>
      <c r="O552" s="343"/>
      <c r="P552" s="343"/>
      <c r="Q552" s="343"/>
      <c r="R552" s="343"/>
      <c r="S552" s="343"/>
    </row>
    <row r="553" spans="1:19">
      <c r="A553" s="33" t="str">
        <f>"3"&amp;+$B551</f>
        <v>3桂圓銀耳甜湯</v>
      </c>
      <c r="B553" s="402"/>
      <c r="C553" s="28" t="s">
        <v>397</v>
      </c>
      <c r="D553" s="8">
        <v>1</v>
      </c>
      <c r="E553" s="26"/>
      <c r="F553" s="37"/>
      <c r="G553" s="354"/>
      <c r="H553" s="92" t="str">
        <f>C553</f>
        <v>二砂糖</v>
      </c>
      <c r="I553" s="84">
        <f>IFERROR(IF(LEN(D553)=LENB(D553),ROUND(LEFT(D553,2*LEN(D553)-LENB(D553))/$A$1,3),((ROUND(LEFT(D553,2*LEN(D553)-LENB(D553))/$A$1,3))*VLOOKUP(H553,食材表!$A:$B,2,FALSE))),"")</f>
        <v>0.02</v>
      </c>
      <c r="J553" s="92">
        <f>E553</f>
        <v>0</v>
      </c>
      <c r="K553" s="85" t="str">
        <f>IFERROR(IF(LEN(F553)=LENB(F553),ROUND(LEFT(F553,2*LEN(F553)-LENB(F553))/$A$1,3),((ROUND(LEFT(F553,2*LEN(F553)-LENB(F553))/$A$1,3))*VLOOKUP(J553,食材表!$A:$B,2,FALSE))),"")</f>
        <v/>
      </c>
      <c r="L553" s="344"/>
      <c r="M553" s="344"/>
      <c r="N553" s="344"/>
      <c r="O553" s="344"/>
      <c r="P553" s="344"/>
      <c r="Q553" s="344"/>
      <c r="R553" s="344"/>
      <c r="S553" s="344"/>
    </row>
    <row r="554" spans="1:19">
      <c r="A554" s="33" t="str">
        <f>"1"&amp;+$B554</f>
        <v>1銀耳羹</v>
      </c>
      <c r="B554" s="371" t="s">
        <v>1095</v>
      </c>
      <c r="C554" s="90" t="s">
        <v>949</v>
      </c>
      <c r="D554" s="59">
        <v>0.1</v>
      </c>
      <c r="E554" s="60" t="s">
        <v>13</v>
      </c>
      <c r="F554" s="36">
        <v>1</v>
      </c>
      <c r="G554" s="352" t="str">
        <f t="shared" ref="G554" si="384">B554</f>
        <v>銀耳羹</v>
      </c>
      <c r="H554" s="91" t="str">
        <f t="shared" ref="H554:H555" si="385">C554</f>
        <v>白木耳</v>
      </c>
      <c r="I554" s="83">
        <f>IFERROR(IF(LEN(D554)=LENB(D554),ROUND(LEFT(D554,2*LEN(D554)-LENB(D554))/$A$1,3),((ROUND(LEFT(D554,2*LEN(D554)-LENB(D554))/$A$1,3))*VLOOKUP(H554,食材表!$A:$B,2,FALSE))),"")</f>
        <v>2E-3</v>
      </c>
      <c r="J554" s="91" t="str">
        <f t="shared" ref="J554:J555" si="386">E554</f>
        <v>二砂糖</v>
      </c>
      <c r="K554" s="83">
        <f>IFERROR(IF(LEN(F554)=LENB(F554),ROUND(LEFT(F554,2*LEN(F554)-LENB(F554))/$A$1,3),((ROUND(LEFT(F554,2*LEN(F554)-LENB(F554))/$A$1,3))*VLOOKUP(J554,食材表!$A:$B,2,FALSE))),"")</f>
        <v>0.02</v>
      </c>
      <c r="L554" s="342">
        <f>IFERROR($I554*VLOOKUP($H554,食材表!$A:C,3,FALSE),0)+IFERROR($I555*VLOOKUP($H555,食材表!$A:C,3,FALSE),0)+IFERROR($I556*VLOOKUP($H556,食材表!$A:C,3,FALSE),0)+IFERROR($K554*VLOOKUP($J554,食材表!$A:C,3,FALSE),0)+IFERROR($K555*VLOOKUP($J555,食材表!$A:C,3,FALSE),0)+IFERROR($K556*VLOOKUP($J556,食材表!$A:C,3,FALSE),0)</f>
        <v>0</v>
      </c>
      <c r="M554" s="342">
        <f>IFERROR($I554*VLOOKUP($H554,食材表!$A:D,4,FALSE),0)+IFERROR($I555*VLOOKUP($H555,食材表!$A:D,4,FALSE),0)+IFERROR($I556*VLOOKUP($H556,食材表!$A:D,4,FALSE),0)+IFERROR($K554*VLOOKUP($J554,食材表!$A:D,4,FALSE),0)+IFERROR($K555*VLOOKUP($J555,食材表!$A:D,4,FALSE),0)+IFERROR($K556*VLOOKUP($J556,食材表!$A:D,4,FALSE),0)</f>
        <v>0</v>
      </c>
      <c r="N554" s="342">
        <f>IFERROR($I554*VLOOKUP($H554,食材表!$A:E,5,FALSE),0)+IFERROR($I555*VLOOKUP($H555,食材表!$A:E,5,FALSE),0)+IFERROR($I556*VLOOKUP($H556,食材表!$A:E,5,FALSE),0)+IFERROR($K554*VLOOKUP($J554,食材表!$A:E,5,FALSE),0)+IFERROR($K555*VLOOKUP($J555,食材表!$A:E,5,FALSE),0)+IFERROR($K556*VLOOKUP($J556,食材表!$A:E,5,FALSE),0)</f>
        <v>0</v>
      </c>
      <c r="O554" s="342">
        <f>IFERROR($I554*VLOOKUP($H554,食材表!$A:F,6,FALSE),0)+IFERROR($I555*VLOOKUP($H555,食材表!$A:F,6,FALSE),0)+IFERROR($I556*VLOOKUP($H556,食材表!$A:F,6,FALSE),0)+IFERROR($K554*VLOOKUP($J554,食材表!$A:F,6,FALSE),0)+IFERROR($K555*VLOOKUP($J555,食材表!$A:F,6,FALSE),0)+IFERROR($K556*VLOOKUP($J556,食材表!$A:F,6,FALSE),0)</f>
        <v>0</v>
      </c>
      <c r="P554" s="342">
        <f>IFERROR($I554*VLOOKUP($H554,食材表!$A:G,7,FALSE),0)+IFERROR($I555*VLOOKUP($H555,食材表!$A:G,7,FALSE),0)+IFERROR($I556*VLOOKUP($H556,食材表!$A:G,7,FALSE),0)+IFERROR($K554*VLOOKUP($J554,食材表!$A:G,7,FALSE),0)+IFERROR($K555*VLOOKUP($J555,食材表!$A:G,7,FALSE),0)+IFERROR($K556*VLOOKUP($J556,食材表!$A:G,7,FALSE),0)</f>
        <v>0</v>
      </c>
      <c r="Q554" s="342">
        <f>IFERROR($I554*VLOOKUP($H554,食材表!$A:H,8,FALSE),0)+IFERROR($I555*VLOOKUP($H555,食材表!$A:H,8,FALSE),0)+IFERROR($I556*VLOOKUP($H556,食材表!$A:H,8,FALSE),0)+IFERROR($K554*VLOOKUP($J554,食材表!$A:H,8,FALSE),0)+IFERROR($K555*VLOOKUP($J555,食材表!$A:H,8,FALSE),0)+IFERROR($K556*VLOOKUP($J556,食材表!$A:H,8,FALSE),0)</f>
        <v>0</v>
      </c>
      <c r="R554" s="342">
        <f>IFERROR($I554*VLOOKUP($H554,食材表!$A:I,9,FALSE),0)+IFERROR($I555*VLOOKUP($H555,食材表!$A:I,9,FALSE),0)+IFERROR($I556*VLOOKUP($H556,食材表!$A:I,9,FALSE),0)+IFERROR($K554*VLOOKUP($J554,食材表!$A:I,9,FALSE),0)+IFERROR($K555*VLOOKUP($J555,食材表!$A:I,9,FALSE),0)+IFERROR($K556*VLOOKUP($J556,食材表!$A:I,9,FALSE),0)</f>
        <v>20</v>
      </c>
      <c r="S554" s="342">
        <f t="shared" ref="S554" si="387">SUM(L554*70+M554*75+N554*120+O554*25+P554*60+Q554*45+R554*4)</f>
        <v>80</v>
      </c>
    </row>
    <row r="555" spans="1:19">
      <c r="A555" s="33" t="str">
        <f>"2"&amp;+$B554</f>
        <v>2銀耳羹</v>
      </c>
      <c r="B555" s="372"/>
      <c r="C555" s="143" t="s">
        <v>124</v>
      </c>
      <c r="D555" s="36">
        <v>0.1</v>
      </c>
      <c r="E555" s="22"/>
      <c r="F555" s="36"/>
      <c r="G555" s="353"/>
      <c r="H555" s="93" t="str">
        <f t="shared" si="385"/>
        <v>枸杞</v>
      </c>
      <c r="I555" s="86">
        <f>IFERROR(IF(LEN(D555)=LENB(D555),ROUND(LEFT(D555,2*LEN(D555)-LENB(D555))/$A$1,3),((ROUND(LEFT(D555,2*LEN(D555)-LENB(D555))/$A$1,3))*VLOOKUP(H555,食材表!$A:$B,2,FALSE))),"")</f>
        <v>2E-3</v>
      </c>
      <c r="J555" s="93">
        <f t="shared" si="386"/>
        <v>0</v>
      </c>
      <c r="K555" s="86" t="str">
        <f>IFERROR(IF(LEN(F555)=LENB(F555),ROUND(LEFT(F555,2*LEN(F555)-LENB(F555))/$A$1,3),((ROUND(LEFT(F555,2*LEN(F555)-LENB(F555))/$A$1,3))*VLOOKUP(J555,食材表!$A:$B,2,FALSE))),"")</f>
        <v/>
      </c>
      <c r="L555" s="343"/>
      <c r="M555" s="343"/>
      <c r="N555" s="343"/>
      <c r="O555" s="343"/>
      <c r="P555" s="343"/>
      <c r="Q555" s="343"/>
      <c r="R555" s="343"/>
      <c r="S555" s="343"/>
    </row>
    <row r="556" spans="1:19">
      <c r="A556" s="33" t="str">
        <f>"3"&amp;+$B554</f>
        <v>3銀耳羹</v>
      </c>
      <c r="B556" s="373"/>
      <c r="C556" s="26" t="s">
        <v>123</v>
      </c>
      <c r="D556" s="37">
        <v>0.2</v>
      </c>
      <c r="E556" s="26"/>
      <c r="F556" s="37"/>
      <c r="G556" s="354"/>
      <c r="H556" s="92" t="str">
        <f t="shared" ref="H556:H566" si="388">C556</f>
        <v>紅棗</v>
      </c>
      <c r="I556" s="84">
        <f>IFERROR(IF(LEN(D556)=LENB(D556),ROUND(LEFT(D556,2*LEN(D556)-LENB(D556))/$A$1,3),((ROUND(LEFT(D556,2*LEN(D556)-LENB(D556))/$A$1,3))*VLOOKUP(H556,食材表!$A:$B,2,FALSE))),"")</f>
        <v>4.0000000000000001E-3</v>
      </c>
      <c r="J556" s="92">
        <f t="shared" ref="J556:J566" si="389">E556</f>
        <v>0</v>
      </c>
      <c r="K556" s="85" t="str">
        <f>IFERROR(IF(LEN(F556)=LENB(F556),ROUND(LEFT(F556,2*LEN(F556)-LENB(F556))/$A$1,3),((ROUND(LEFT(F556,2*LEN(F556)-LENB(F556))/$A$1,3))*VLOOKUP(J556,食材表!$A:$B,2,FALSE))),"")</f>
        <v/>
      </c>
      <c r="L556" s="344"/>
      <c r="M556" s="344"/>
      <c r="N556" s="344"/>
      <c r="O556" s="344"/>
      <c r="P556" s="344"/>
      <c r="Q556" s="344"/>
      <c r="R556" s="344"/>
      <c r="S556" s="344"/>
    </row>
    <row r="557" spans="1:19">
      <c r="A557" s="33" t="str">
        <f>"1"&amp;+$B557</f>
        <v>1桂圓紫米粥</v>
      </c>
      <c r="B557" s="349" t="s">
        <v>1126</v>
      </c>
      <c r="C557" s="60" t="s">
        <v>371</v>
      </c>
      <c r="D557" s="59">
        <v>0.5</v>
      </c>
      <c r="E557" s="60" t="s">
        <v>1135</v>
      </c>
      <c r="F557" s="36">
        <v>1</v>
      </c>
      <c r="G557" s="352" t="str">
        <f t="shared" ref="G557" si="390">B557</f>
        <v>桂圓紫米粥</v>
      </c>
      <c r="H557" s="91" t="str">
        <f t="shared" si="388"/>
        <v>紫米</v>
      </c>
      <c r="I557" s="83">
        <f>IFERROR(IF(LEN(D557)=LENB(D557),ROUND(LEFT(D557,2*LEN(D557)-LENB(D557))/$A$1,3),((ROUND(LEFT(D557,2*LEN(D557)-LENB(D557))/$A$1,3))*VLOOKUP(H557,食材表!$A:$B,2,FALSE))),"")</f>
        <v>0.01</v>
      </c>
      <c r="J557" s="91" t="str">
        <f t="shared" si="389"/>
        <v>圓糯米</v>
      </c>
      <c r="K557" s="83">
        <f>IFERROR(IF(LEN(F557)=LENB(F557),ROUND(LEFT(F557,2*LEN(F557)-LENB(F557))/$A$1,3),((ROUND(LEFT(F557,2*LEN(F557)-LENB(F557))/$A$1,3))*VLOOKUP(J557,食材表!$A:$B,2,FALSE))),"")</f>
        <v>0.02</v>
      </c>
      <c r="L557" s="342">
        <f>IFERROR($I557*VLOOKUP($H557,食材表!$A:C,3,FALSE),0)+IFERROR($I558*VLOOKUP($H558,食材表!$A:C,3,FALSE),0)+IFERROR($I559*VLOOKUP($H559,食材表!$A:C,3,FALSE),0)+IFERROR($K557*VLOOKUP($J557,食材表!$A:C,3,FALSE),0)+IFERROR($K558*VLOOKUP($J558,食材表!$A:C,3,FALSE),0)+IFERROR($K559*VLOOKUP($J559,食材表!$A:C,3,FALSE),0)</f>
        <v>1.5</v>
      </c>
      <c r="M557" s="342">
        <f>IFERROR($I557*VLOOKUP($H557,食材表!$A:D,4,FALSE),0)+IFERROR($I558*VLOOKUP($H558,食材表!$A:D,4,FALSE),0)+IFERROR($I559*VLOOKUP($H559,食材表!$A:D,4,FALSE),0)+IFERROR($K557*VLOOKUP($J557,食材表!$A:D,4,FALSE),0)+IFERROR($K558*VLOOKUP($J558,食材表!$A:D,4,FALSE),0)+IFERROR($K559*VLOOKUP($J559,食材表!$A:D,4,FALSE),0)</f>
        <v>0</v>
      </c>
      <c r="N557" s="342">
        <f>IFERROR($I557*VLOOKUP($H557,食材表!$A:E,5,FALSE),0)+IFERROR($I558*VLOOKUP($H558,食材表!$A:E,5,FALSE),0)+IFERROR($I559*VLOOKUP($H559,食材表!$A:E,5,FALSE),0)+IFERROR($K557*VLOOKUP($J557,食材表!$A:E,5,FALSE),0)+IFERROR($K558*VLOOKUP($J558,食材表!$A:E,5,FALSE),0)+IFERROR($K559*VLOOKUP($J559,食材表!$A:E,5,FALSE),0)</f>
        <v>0</v>
      </c>
      <c r="O557" s="342">
        <f>IFERROR($I557*VLOOKUP($H557,食材表!$A:F,6,FALSE),0)+IFERROR($I558*VLOOKUP($H558,食材表!$A:F,6,FALSE),0)+IFERROR($I559*VLOOKUP($H559,食材表!$A:F,6,FALSE),0)+IFERROR($K557*VLOOKUP($J557,食材表!$A:F,6,FALSE),0)+IFERROR($K558*VLOOKUP($J558,食材表!$A:F,6,FALSE),0)+IFERROR($K559*VLOOKUP($J559,食材表!$A:F,6,FALSE),0)</f>
        <v>0</v>
      </c>
      <c r="P557" s="342">
        <f>IFERROR($I557*VLOOKUP($H557,食材表!$A:G,7,FALSE),0)+IFERROR($I558*VLOOKUP($H558,食材表!$A:G,7,FALSE),0)+IFERROR($I559*VLOOKUP($H559,食材表!$A:G,7,FALSE),0)+IFERROR($K557*VLOOKUP($J557,食材表!$A:G,7,FALSE),0)+IFERROR($K558*VLOOKUP($J558,食材表!$A:G,7,FALSE),0)+IFERROR($K559*VLOOKUP($J559,食材表!$A:G,7,FALSE),0)</f>
        <v>0</v>
      </c>
      <c r="Q557" s="342">
        <f>IFERROR($I557*VLOOKUP($H557,食材表!$A:H,8,FALSE),0)+IFERROR($I558*VLOOKUP($H558,食材表!$A:H,8,FALSE),0)+IFERROR($I559*VLOOKUP($H559,食材表!$A:H,8,FALSE),0)+IFERROR($K557*VLOOKUP($J557,食材表!$A:H,8,FALSE),0)+IFERROR($K558*VLOOKUP($J558,食材表!$A:H,8,FALSE),0)+IFERROR($K559*VLOOKUP($J559,食材表!$A:H,8,FALSE),0)</f>
        <v>0</v>
      </c>
      <c r="R557" s="342">
        <f>IFERROR($I557*VLOOKUP($H557,食材表!$A:I,9,FALSE),0)+IFERROR($I558*VLOOKUP($H558,食材表!$A:I,9,FALSE),0)+IFERROR($I559*VLOOKUP($H559,食材表!$A:I,9,FALSE),0)+IFERROR($K557*VLOOKUP($J557,食材表!$A:I,9,FALSE),0)+IFERROR($K558*VLOOKUP($J558,食材表!$A:I,9,FALSE),0)+IFERROR($K559*VLOOKUP($J559,食材表!$A:I,9,FALSE),0)</f>
        <v>0</v>
      </c>
      <c r="S557" s="342">
        <f t="shared" ref="S557" si="391">SUM(L557*70+M557*75+N557*120+O557*25+P557*60+Q557*45+R557*4)</f>
        <v>105</v>
      </c>
    </row>
    <row r="558" spans="1:19">
      <c r="A558" s="33" t="str">
        <f>"2"&amp;+$B557</f>
        <v>2桂圓紫米粥</v>
      </c>
      <c r="B558" s="350"/>
      <c r="C558" s="22" t="s">
        <v>458</v>
      </c>
      <c r="D558" s="41">
        <v>0.3</v>
      </c>
      <c r="E558" s="22"/>
      <c r="F558" s="36"/>
      <c r="G558" s="353"/>
      <c r="H558" s="93" t="str">
        <f t="shared" si="388"/>
        <v>桂圓</v>
      </c>
      <c r="I558" s="86">
        <f>IFERROR(IF(LEN(D558)=LENB(D558),ROUND(LEFT(D558,2*LEN(D558)-LENB(D558))/$A$1,3),((ROUND(LEFT(D558,2*LEN(D558)-LENB(D558))/$A$1,3))*VLOOKUP(H558,食材表!$A:$B,2,FALSE))),"")</f>
        <v>6.0000000000000001E-3</v>
      </c>
      <c r="J558" s="93">
        <f t="shared" si="389"/>
        <v>0</v>
      </c>
      <c r="K558" s="86" t="str">
        <f>IFERROR(IF(LEN(F558)=LENB(F558),ROUND(LEFT(F558,2*LEN(F558)-LENB(F558))/$A$1,3),((ROUND(LEFT(F558,2*LEN(F558)-LENB(F558))/$A$1,3))*VLOOKUP(J558,食材表!$A:$B,2,FALSE))),"")</f>
        <v/>
      </c>
      <c r="L558" s="343"/>
      <c r="M558" s="343"/>
      <c r="N558" s="343"/>
      <c r="O558" s="343"/>
      <c r="P558" s="343"/>
      <c r="Q558" s="343"/>
      <c r="R558" s="343"/>
      <c r="S558" s="343"/>
    </row>
    <row r="559" spans="1:19">
      <c r="A559" s="33" t="str">
        <f>"3"&amp;+$B557</f>
        <v>3桂圓紫米粥</v>
      </c>
      <c r="B559" s="351"/>
      <c r="C559" s="26" t="s">
        <v>951</v>
      </c>
      <c r="D559" s="37">
        <v>1</v>
      </c>
      <c r="E559" s="26"/>
      <c r="F559" s="37"/>
      <c r="G559" s="354"/>
      <c r="H559" s="92" t="str">
        <f t="shared" si="388"/>
        <v>冰糖</v>
      </c>
      <c r="I559" s="84">
        <f>IFERROR(IF(LEN(D559)=LENB(D559),ROUND(LEFT(D559,2*LEN(D559)-LENB(D559))/$A$1,3),((ROUND(LEFT(D559,2*LEN(D559)-LENB(D559))/$A$1,3))*VLOOKUP(H559,食材表!$A:$B,2,FALSE))),"")</f>
        <v>0.02</v>
      </c>
      <c r="J559" s="92">
        <f t="shared" si="389"/>
        <v>0</v>
      </c>
      <c r="K559" s="85" t="str">
        <f>IFERROR(IF(LEN(F559)=LENB(F559),ROUND(LEFT(F559,2*LEN(F559)-LENB(F559))/$A$1,3),((ROUND(LEFT(F559,2*LEN(F559)-LENB(F559))/$A$1,3))*VLOOKUP(J559,食材表!$A:$B,2,FALSE))),"")</f>
        <v/>
      </c>
      <c r="L559" s="344"/>
      <c r="M559" s="344"/>
      <c r="N559" s="344"/>
      <c r="O559" s="344"/>
      <c r="P559" s="344"/>
      <c r="Q559" s="344"/>
      <c r="R559" s="344"/>
      <c r="S559" s="344"/>
    </row>
    <row r="560" spans="1:19">
      <c r="A560" s="33" t="str">
        <f>"1"&amp;+$B560</f>
        <v>1紫米蓮子甜湯</v>
      </c>
      <c r="B560" s="349" t="s">
        <v>1112</v>
      </c>
      <c r="C560" s="60" t="s">
        <v>371</v>
      </c>
      <c r="D560" s="59">
        <v>1.5</v>
      </c>
      <c r="E560" s="60"/>
      <c r="F560" s="36"/>
      <c r="G560" s="352" t="str">
        <f t="shared" ref="G560" si="392">B560</f>
        <v>紫米蓮子甜湯</v>
      </c>
      <c r="H560" s="91" t="str">
        <f t="shared" si="388"/>
        <v>紫米</v>
      </c>
      <c r="I560" s="83">
        <f>IFERROR(IF(LEN(D560)=LENB(D560),ROUND(LEFT(D560,2*LEN(D560)-LENB(D560))/$A$1,3),((ROUND(LEFT(D560,2*LEN(D560)-LENB(D560))/$A$1,3))*VLOOKUP(H560,食材表!$A:$B,2,FALSE))),"")</f>
        <v>0.03</v>
      </c>
      <c r="J560" s="91">
        <f t="shared" si="389"/>
        <v>0</v>
      </c>
      <c r="K560" s="83" t="str">
        <f>IFERROR(IF(LEN(F560)=LENB(F560),ROUND(LEFT(F560,2*LEN(F560)-LENB(F560))/$A$1,3),((ROUND(LEFT(F560,2*LEN(F560)-LENB(F560))/$A$1,3))*VLOOKUP(J560,食材表!$A:$B,2,FALSE))),"")</f>
        <v/>
      </c>
      <c r="L560" s="342">
        <f>IFERROR($I560*VLOOKUP($H560,食材表!$A:C,3,FALSE),0)+IFERROR($I561*VLOOKUP($H561,食材表!$A:C,3,FALSE),0)+IFERROR($I562*VLOOKUP($H562,食材表!$A:C,3,FALSE),0)+IFERROR($K560*VLOOKUP($J560,食材表!$A:C,3,FALSE),0)+IFERROR($K561*VLOOKUP($J561,食材表!$A:C,3,FALSE),0)+IFERROR($K562*VLOOKUP($J562,食材表!$A:C,3,FALSE),0)</f>
        <v>1.5</v>
      </c>
      <c r="M560" s="342">
        <f>IFERROR($I560*VLOOKUP($H560,食材表!$A:D,4,FALSE),0)+IFERROR($I561*VLOOKUP($H561,食材表!$A:D,4,FALSE),0)+IFERROR($I562*VLOOKUP($H562,食材表!$A:D,4,FALSE),0)+IFERROR($K560*VLOOKUP($J560,食材表!$A:D,4,FALSE),0)+IFERROR($K561*VLOOKUP($J561,食材表!$A:D,4,FALSE),0)+IFERROR($K562*VLOOKUP($J562,食材表!$A:D,4,FALSE),0)</f>
        <v>0</v>
      </c>
      <c r="N560" s="342">
        <f>IFERROR($I560*VLOOKUP($H560,食材表!$A:E,5,FALSE),0)+IFERROR($I561*VLOOKUP($H561,食材表!$A:E,5,FALSE),0)+IFERROR($I562*VLOOKUP($H562,食材表!$A:E,5,FALSE),0)+IFERROR($K560*VLOOKUP($J560,食材表!$A:E,5,FALSE),0)+IFERROR($K561*VLOOKUP($J561,食材表!$A:E,5,FALSE),0)+IFERROR($K562*VLOOKUP($J562,食材表!$A:E,5,FALSE),0)</f>
        <v>0</v>
      </c>
      <c r="O560" s="342">
        <f>IFERROR($I560*VLOOKUP($H560,食材表!$A:F,6,FALSE),0)+IFERROR($I561*VLOOKUP($H561,食材表!$A:F,6,FALSE),0)+IFERROR($I562*VLOOKUP($H562,食材表!$A:F,6,FALSE),0)+IFERROR($K560*VLOOKUP($J560,食材表!$A:F,6,FALSE),0)+IFERROR($K561*VLOOKUP($J561,食材表!$A:F,6,FALSE),0)+IFERROR($K562*VLOOKUP($J562,食材表!$A:F,6,FALSE),0)</f>
        <v>0</v>
      </c>
      <c r="P560" s="342">
        <f>IFERROR($I560*VLOOKUP($H560,食材表!$A:G,7,FALSE),0)+IFERROR($I561*VLOOKUP($H561,食材表!$A:G,7,FALSE),0)+IFERROR($I562*VLOOKUP($H562,食材表!$A:G,7,FALSE),0)+IFERROR($K560*VLOOKUP($J560,食材表!$A:G,7,FALSE),0)+IFERROR($K561*VLOOKUP($J561,食材表!$A:G,7,FALSE),0)+IFERROR($K562*VLOOKUP($J562,食材表!$A:G,7,FALSE),0)</f>
        <v>0</v>
      </c>
      <c r="Q560" s="342">
        <f>IFERROR($I560*VLOOKUP($H560,食材表!$A:H,8,FALSE),0)+IFERROR($I561*VLOOKUP($H561,食材表!$A:H,8,FALSE),0)+IFERROR($I562*VLOOKUP($H562,食材表!$A:H,8,FALSE),0)+IFERROR($K560*VLOOKUP($J560,食材表!$A:H,8,FALSE),0)+IFERROR($K561*VLOOKUP($J561,食材表!$A:H,8,FALSE),0)+IFERROR($K562*VLOOKUP($J562,食材表!$A:H,8,FALSE),0)</f>
        <v>0</v>
      </c>
      <c r="R560" s="342">
        <f>IFERROR($I560*VLOOKUP($H560,食材表!$A:I,9,FALSE),0)+IFERROR($I561*VLOOKUP($H561,食材表!$A:I,9,FALSE),0)+IFERROR($I562*VLOOKUP($H562,食材表!$A:I,9,FALSE),0)+IFERROR($K560*VLOOKUP($J560,食材表!$A:I,9,FALSE),0)+IFERROR($K561*VLOOKUP($J561,食材表!$A:I,9,FALSE),0)+IFERROR($K562*VLOOKUP($J562,食材表!$A:I,9,FALSE),0)</f>
        <v>0</v>
      </c>
      <c r="S560" s="342">
        <f t="shared" ref="S560" si="393">SUM(L560*70+M560*75+N560*120+O560*25+P560*60+Q560*45+R560*4)</f>
        <v>105</v>
      </c>
    </row>
    <row r="561" spans="1:19">
      <c r="A561" s="33" t="str">
        <f>"2"&amp;+$B560</f>
        <v>2紫米蓮子甜湯</v>
      </c>
      <c r="B561" s="350"/>
      <c r="C561" s="22" t="s">
        <v>950</v>
      </c>
      <c r="D561" s="41">
        <v>0.6</v>
      </c>
      <c r="E561" s="22"/>
      <c r="F561" s="36"/>
      <c r="G561" s="353"/>
      <c r="H561" s="93" t="str">
        <f t="shared" si="388"/>
        <v>蓮子</v>
      </c>
      <c r="I561" s="86">
        <f>IFERROR(IF(LEN(D561)=LENB(D561),ROUND(LEFT(D561,2*LEN(D561)-LENB(D561))/$A$1,3),((ROUND(LEFT(D561,2*LEN(D561)-LENB(D561))/$A$1,3))*VLOOKUP(H561,食材表!$A:$B,2,FALSE))),"")</f>
        <v>1.2E-2</v>
      </c>
      <c r="J561" s="93">
        <f t="shared" si="389"/>
        <v>0</v>
      </c>
      <c r="K561" s="86" t="str">
        <f>IFERROR(IF(LEN(F561)=LENB(F561),ROUND(LEFT(F561,2*LEN(F561)-LENB(F561))/$A$1,3),((ROUND(LEFT(F561,2*LEN(F561)-LENB(F561))/$A$1,3))*VLOOKUP(J561,食材表!$A:$B,2,FALSE))),"")</f>
        <v/>
      </c>
      <c r="L561" s="343"/>
      <c r="M561" s="343"/>
      <c r="N561" s="343"/>
      <c r="O561" s="343"/>
      <c r="P561" s="343"/>
      <c r="Q561" s="343"/>
      <c r="R561" s="343"/>
      <c r="S561" s="343"/>
    </row>
    <row r="562" spans="1:19">
      <c r="A562" s="33" t="str">
        <f>"3"&amp;+$B560</f>
        <v>3紫米蓮子甜湯</v>
      </c>
      <c r="B562" s="351"/>
      <c r="C562" s="26" t="s">
        <v>951</v>
      </c>
      <c r="D562" s="37">
        <v>1</v>
      </c>
      <c r="E562" s="26"/>
      <c r="F562" s="37"/>
      <c r="G562" s="354"/>
      <c r="H562" s="92" t="str">
        <f t="shared" si="388"/>
        <v>冰糖</v>
      </c>
      <c r="I562" s="84">
        <f>IFERROR(IF(LEN(D562)=LENB(D562),ROUND(LEFT(D562,2*LEN(D562)-LENB(D562))/$A$1,3),((ROUND(LEFT(D562,2*LEN(D562)-LENB(D562))/$A$1,3))*VLOOKUP(H562,食材表!$A:$B,2,FALSE))),"")</f>
        <v>0.02</v>
      </c>
      <c r="J562" s="92">
        <f t="shared" si="389"/>
        <v>0</v>
      </c>
      <c r="K562" s="85" t="str">
        <f>IFERROR(IF(LEN(F562)=LENB(F562),ROUND(LEFT(F562,2*LEN(F562)-LENB(F562))/$A$1,3),((ROUND(LEFT(F562,2*LEN(F562)-LENB(F562))/$A$1,3))*VLOOKUP(J562,食材表!$A:$B,2,FALSE))),"")</f>
        <v/>
      </c>
      <c r="L562" s="344"/>
      <c r="M562" s="344"/>
      <c r="N562" s="344"/>
      <c r="O562" s="344"/>
      <c r="P562" s="344"/>
      <c r="Q562" s="344"/>
      <c r="R562" s="344"/>
      <c r="S562" s="344"/>
    </row>
    <row r="563" spans="1:19">
      <c r="A563" s="33" t="str">
        <f>"1"&amp;+$B563</f>
        <v>1黑糖粉圓地瓜湯</v>
      </c>
      <c r="B563" s="355" t="s">
        <v>981</v>
      </c>
      <c r="C563" s="55" t="s">
        <v>102</v>
      </c>
      <c r="D563" s="56">
        <v>0.6</v>
      </c>
      <c r="E563" s="55" t="s">
        <v>13</v>
      </c>
      <c r="F563" s="33">
        <v>1</v>
      </c>
      <c r="G563" s="352" t="str">
        <f t="shared" ref="G563" si="394">B563</f>
        <v>黑糖粉圓地瓜湯</v>
      </c>
      <c r="H563" s="91" t="str">
        <f t="shared" si="388"/>
        <v>黑糖</v>
      </c>
      <c r="I563" s="83">
        <f>IFERROR(IF(LEN(D563)=LENB(D563),ROUND(LEFT(D563,2*LEN(D563)-LENB(D563))/$A$1,3),((ROUND(LEFT(D563,2*LEN(D563)-LENB(D563))/$A$1,3))*VLOOKUP(H563,食材表!$A:$B,2,FALSE))),"")</f>
        <v>1.2E-2</v>
      </c>
      <c r="J563" s="91" t="str">
        <f t="shared" si="389"/>
        <v>二砂糖</v>
      </c>
      <c r="K563" s="83">
        <f>IFERROR(IF(LEN(F563)=LENB(F563),ROUND(LEFT(F563,2*LEN(F563)-LENB(F563))/$A$1,3),((ROUND(LEFT(F563,2*LEN(F563)-LENB(F563))/$A$1,3))*VLOOKUP(J563,食材表!$A:$B,2,FALSE))),"")</f>
        <v>0.02</v>
      </c>
      <c r="L563" s="342">
        <f>IFERROR($I563*VLOOKUP($H563,食材表!$A:C,3,FALSE),0)+IFERROR($I564*VLOOKUP($H564,食材表!$A:C,3,FALSE),0)+IFERROR($I565*VLOOKUP($H565,食材表!$A:C,3,FALSE),0)+IFERROR($K563*VLOOKUP($J563,食材表!$A:C,3,FALSE),0)+IFERROR($K564*VLOOKUP($J564,食材表!$A:C,3,FALSE),0)+IFERROR($K565*VLOOKUP($J565,食材表!$A:C,3,FALSE),0)</f>
        <v>2.4242424242424248</v>
      </c>
      <c r="M563" s="342">
        <f>IFERROR($I563*VLOOKUP($H563,食材表!$A:D,4,FALSE),0)+IFERROR($I564*VLOOKUP($H564,食材表!$A:D,4,FALSE),0)+IFERROR($I565*VLOOKUP($H565,食材表!$A:D,4,FALSE),0)+IFERROR($K563*VLOOKUP($J563,食材表!$A:D,4,FALSE),0)+IFERROR($K564*VLOOKUP($J564,食材表!$A:D,4,FALSE),0)+IFERROR($K565*VLOOKUP($J565,食材表!$A:D,4,FALSE),0)</f>
        <v>0</v>
      </c>
      <c r="N563" s="342">
        <f>IFERROR($I563*VLOOKUP($H563,食材表!$A:E,5,FALSE),0)+IFERROR($I564*VLOOKUP($H564,食材表!$A:E,5,FALSE),0)+IFERROR($I565*VLOOKUP($H565,食材表!$A:E,5,FALSE),0)+IFERROR($K563*VLOOKUP($J563,食材表!$A:E,5,FALSE),0)+IFERROR($K564*VLOOKUP($J564,食材表!$A:E,5,FALSE),0)+IFERROR($K565*VLOOKUP($J565,食材表!$A:E,5,FALSE),0)</f>
        <v>0</v>
      </c>
      <c r="O563" s="342">
        <f>IFERROR($I563*VLOOKUP($H563,食材表!$A:F,6,FALSE),0)+IFERROR($I564*VLOOKUP($H564,食材表!$A:F,6,FALSE),0)+IFERROR($I565*VLOOKUP($H565,食材表!$A:F,6,FALSE),0)+IFERROR($K563*VLOOKUP($J563,食材表!$A:F,6,FALSE),0)+IFERROR($K564*VLOOKUP($J564,食材表!$A:F,6,FALSE),0)+IFERROR($K565*VLOOKUP($J565,食材表!$A:F,6,FALSE),0)</f>
        <v>0</v>
      </c>
      <c r="P563" s="342">
        <f>IFERROR($I563*VLOOKUP($H563,食材表!$A:G,7,FALSE),0)+IFERROR($I564*VLOOKUP($H564,食材表!$A:G,7,FALSE),0)+IFERROR($I565*VLOOKUP($H565,食材表!$A:G,7,FALSE),0)+IFERROR($K563*VLOOKUP($J563,食材表!$A:G,7,FALSE),0)+IFERROR($K564*VLOOKUP($J564,食材表!$A:G,7,FALSE),0)+IFERROR($K565*VLOOKUP($J565,食材表!$A:G,7,FALSE),0)</f>
        <v>0</v>
      </c>
      <c r="Q563" s="342">
        <f>IFERROR($I563*VLOOKUP($H563,食材表!$A:H,8,FALSE),0)+IFERROR($I564*VLOOKUP($H564,食材表!$A:H,8,FALSE),0)+IFERROR($I565*VLOOKUP($H565,食材表!$A:H,8,FALSE),0)+IFERROR($K563*VLOOKUP($J563,食材表!$A:H,8,FALSE),0)+IFERROR($K564*VLOOKUP($J564,食材表!$A:H,8,FALSE),0)+IFERROR($K565*VLOOKUP($J565,食材表!$A:H,8,FALSE),0)</f>
        <v>0</v>
      </c>
      <c r="R563" s="342">
        <f>IFERROR($I563*VLOOKUP($H563,食材表!$A:I,9,FALSE),0)+IFERROR($I564*VLOOKUP($H564,食材表!$A:I,9,FALSE),0)+IFERROR($I565*VLOOKUP($H565,食材表!$A:I,9,FALSE),0)+IFERROR($K563*VLOOKUP($J563,食材表!$A:I,9,FALSE),0)+IFERROR($K564*VLOOKUP($J564,食材表!$A:I,9,FALSE),0)+IFERROR($K565*VLOOKUP($J565,食材表!$A:I,9,FALSE),0)</f>
        <v>32</v>
      </c>
      <c r="S563" s="342">
        <f t="shared" ref="S563" si="395">SUM(L563*70+M563*75+N563*120+O563*25+P563*60+Q563*45+R563*4)</f>
        <v>297.69696969696975</v>
      </c>
    </row>
    <row r="564" spans="1:19">
      <c r="A564" s="33" t="str">
        <f>"2"&amp;+$B563</f>
        <v>2黑糖粉圓地瓜湯</v>
      </c>
      <c r="B564" s="356"/>
      <c r="C564" s="31" t="s">
        <v>45</v>
      </c>
      <c r="D564" s="33">
        <v>3</v>
      </c>
      <c r="E564" s="31"/>
      <c r="F564" s="33"/>
      <c r="G564" s="353"/>
      <c r="H564" s="93" t="str">
        <f t="shared" si="388"/>
        <v>地瓜</v>
      </c>
      <c r="I564" s="86">
        <f>IFERROR(IF(LEN(D564)=LENB(D564),ROUND(LEFT(D564,2*LEN(D564)-LENB(D564))/$A$1,3),((ROUND(LEFT(D564,2*LEN(D564)-LENB(D564))/$A$1,3))*VLOOKUP(H564,食材表!$A:$B,2,FALSE))),"")</f>
        <v>0.06</v>
      </c>
      <c r="J564" s="93">
        <f t="shared" si="389"/>
        <v>0</v>
      </c>
      <c r="K564" s="86" t="str">
        <f>IFERROR(IF(LEN(F564)=LENB(F564),ROUND(LEFT(F564,2*LEN(F564)-LENB(F564))/$A$1,3),((ROUND(LEFT(F564,2*LEN(F564)-LENB(F564))/$A$1,3))*VLOOKUP(J564,食材表!$A:$B,2,FALSE))),"")</f>
        <v/>
      </c>
      <c r="L564" s="343"/>
      <c r="M564" s="343"/>
      <c r="N564" s="343"/>
      <c r="O564" s="343"/>
      <c r="P564" s="343"/>
      <c r="Q564" s="343"/>
      <c r="R564" s="343"/>
      <c r="S564" s="343"/>
    </row>
    <row r="565" spans="1:19">
      <c r="A565" s="33" t="str">
        <f>"3"&amp;+$B563</f>
        <v>3黑糖粉圓地瓜湯</v>
      </c>
      <c r="B565" s="357"/>
      <c r="C565" s="28" t="s">
        <v>303</v>
      </c>
      <c r="D565" s="8">
        <v>1</v>
      </c>
      <c r="E565" s="28"/>
      <c r="F565" s="8"/>
      <c r="G565" s="354"/>
      <c r="H565" s="92" t="str">
        <f t="shared" si="388"/>
        <v>粉圓</v>
      </c>
      <c r="I565" s="84">
        <f>IFERROR(IF(LEN(D565)=LENB(D565),ROUND(LEFT(D565,2*LEN(D565)-LENB(D565))/$A$1,3),((ROUND(LEFT(D565,2*LEN(D565)-LENB(D565))/$A$1,3))*VLOOKUP(H565,食材表!$A:$B,2,FALSE))),"")</f>
        <v>0.02</v>
      </c>
      <c r="J565" s="92">
        <f t="shared" si="389"/>
        <v>0</v>
      </c>
      <c r="K565" s="85" t="str">
        <f>IFERROR(IF(LEN(F565)=LENB(F565),ROUND(LEFT(F565,2*LEN(F565)-LENB(F565))/$A$1,3),((ROUND(LEFT(F565,2*LEN(F565)-LENB(F565))/$A$1,3))*VLOOKUP(J565,食材表!$A:$B,2,FALSE))),"")</f>
        <v/>
      </c>
      <c r="L565" s="344"/>
      <c r="M565" s="344"/>
      <c r="N565" s="344"/>
      <c r="O565" s="344"/>
      <c r="P565" s="344"/>
      <c r="Q565" s="344"/>
      <c r="R565" s="344"/>
      <c r="S565" s="344"/>
    </row>
    <row r="566" spans="1:19">
      <c r="A566" s="33" t="str">
        <f>"1"&amp;+$B566</f>
        <v>1黑糖西米露</v>
      </c>
      <c r="B566" s="355" t="s">
        <v>1030</v>
      </c>
      <c r="C566" s="57" t="s">
        <v>1031</v>
      </c>
      <c r="D566" s="56">
        <v>0.6</v>
      </c>
      <c r="E566" s="60" t="s">
        <v>13</v>
      </c>
      <c r="F566" s="36">
        <v>1</v>
      </c>
      <c r="G566" s="352" t="str">
        <f>B566</f>
        <v>黑糖西米露</v>
      </c>
      <c r="H566" s="91" t="str">
        <f t="shared" si="388"/>
        <v>西谷米</v>
      </c>
      <c r="I566" s="83">
        <f>IFERROR(IF(LEN(D566)=LENB(D566),ROUND(LEFT(D566,2*LEN(D566)-LENB(D566))/$A$1,3),((ROUND(LEFT(D566,2*LEN(D566)-LENB(D566))/$A$1,3))*VLOOKUP(H566,食材表!$A:$B,2,FALSE))),"")</f>
        <v>1.2E-2</v>
      </c>
      <c r="J566" s="91" t="str">
        <f t="shared" si="389"/>
        <v>二砂糖</v>
      </c>
      <c r="K566" s="83">
        <f>IFERROR(IF(LEN(F566)=LENB(F566),ROUND(LEFT(F566,2*LEN(F566)-LENB(F566))/$A$1,3),((ROUND(LEFT(F566,2*LEN(F566)-LENB(F566))/$A$1,3))*VLOOKUP(J566,食材表!$A:$B,2,FALSE))),"")</f>
        <v>0.02</v>
      </c>
      <c r="L566" s="342">
        <f>IFERROR($I566*VLOOKUP($H566,食材表!$A:C,3,FALSE),0)+IFERROR($I567*VLOOKUP($H567,食材表!$A:C,3,FALSE),0)+IFERROR($I568*VLOOKUP($H568,食材表!$A:C,3,FALSE),0)+IFERROR($K566*VLOOKUP($J566,食材表!$A:C,3,FALSE),0)+IFERROR($K567*VLOOKUP($J567,食材表!$A:C,3,FALSE),0)+IFERROR($K568*VLOOKUP($J568,食材表!$A:C,3,FALSE),0)</f>
        <v>1.5272727272727273</v>
      </c>
      <c r="M566" s="342">
        <f>IFERROR($I566*VLOOKUP($H566,食材表!$A:D,4,FALSE),0)+IFERROR($I567*VLOOKUP($H567,食材表!$A:D,4,FALSE),0)+IFERROR($I568*VLOOKUP($H568,食材表!$A:D,4,FALSE),0)+IFERROR($K566*VLOOKUP($J566,食材表!$A:D,4,FALSE),0)+IFERROR($K567*VLOOKUP($J567,食材表!$A:D,4,FALSE),0)+IFERROR($K568*VLOOKUP($J568,食材表!$A:D,4,FALSE),0)</f>
        <v>0</v>
      </c>
      <c r="N566" s="342">
        <f>IFERROR($I566*VLOOKUP($H566,食材表!$A:E,5,FALSE),0)+IFERROR($I567*VLOOKUP($H567,食材表!$A:E,5,FALSE),0)+IFERROR($I568*VLOOKUP($H568,食材表!$A:E,5,FALSE),0)+IFERROR($K566*VLOOKUP($J566,食材表!$A:E,5,FALSE),0)+IFERROR($K567*VLOOKUP($J567,食材表!$A:E,5,FALSE),0)+IFERROR($K568*VLOOKUP($J568,食材表!$A:E,5,FALSE),0)</f>
        <v>0</v>
      </c>
      <c r="O566" s="342">
        <f>IFERROR($I566*VLOOKUP($H566,食材表!$A:F,6,FALSE),0)+IFERROR($I567*VLOOKUP($H567,食材表!$A:F,6,FALSE),0)+IFERROR($I568*VLOOKUP($H568,食材表!$A:F,6,FALSE),0)+IFERROR($K566*VLOOKUP($J566,食材表!$A:F,6,FALSE),0)+IFERROR($K567*VLOOKUP($J567,食材表!$A:F,6,FALSE),0)+IFERROR($K568*VLOOKUP($J568,食材表!$A:F,6,FALSE),0)</f>
        <v>0</v>
      </c>
      <c r="P566" s="342">
        <f>IFERROR($I566*VLOOKUP($H566,食材表!$A:G,7,FALSE),0)+IFERROR($I567*VLOOKUP($H567,食材表!$A:G,7,FALSE),0)+IFERROR($I568*VLOOKUP($H568,食材表!$A:G,7,FALSE),0)+IFERROR($K566*VLOOKUP($J566,食材表!$A:G,7,FALSE),0)+IFERROR($K567*VLOOKUP($J567,食材表!$A:G,7,FALSE),0)+IFERROR($K568*VLOOKUP($J568,食材表!$A:G,7,FALSE),0)</f>
        <v>0</v>
      </c>
      <c r="Q566" s="342">
        <f>IFERROR($I566*VLOOKUP($H566,食材表!$A:H,8,FALSE),0)+IFERROR($I567*VLOOKUP($H567,食材表!$A:H,8,FALSE),0)+IFERROR($I568*VLOOKUP($H568,食材表!$A:H,8,FALSE),0)+IFERROR($K566*VLOOKUP($J566,食材表!$A:H,8,FALSE),0)+IFERROR($K567*VLOOKUP($J567,食材表!$A:H,8,FALSE),0)+IFERROR($K568*VLOOKUP($J568,食材表!$A:H,8,FALSE),0)</f>
        <v>0</v>
      </c>
      <c r="R566" s="342">
        <f>IFERROR($I566*VLOOKUP($H566,食材表!$A:I,9,FALSE),0)+IFERROR($I567*VLOOKUP($H567,食材表!$A:I,9,FALSE),0)+IFERROR($I568*VLOOKUP($H568,食材表!$A:I,9,FALSE),0)+IFERROR($K566*VLOOKUP($J566,食材表!$A:I,9,FALSE),0)+IFERROR($K567*VLOOKUP($J567,食材表!$A:I,9,FALSE),0)+IFERROR($K568*VLOOKUP($J568,食材表!$A:I,9,FALSE),0)</f>
        <v>32</v>
      </c>
      <c r="S566" s="342">
        <f>SUM(L566*70+M566*75+N566*120+O566*25+P566*60+Q566*45+R566*4)</f>
        <v>234.90909090909091</v>
      </c>
    </row>
    <row r="567" spans="1:19">
      <c r="A567" s="33" t="str">
        <f>"2"&amp;+$B566</f>
        <v>2黑糖西米露</v>
      </c>
      <c r="B567" s="356"/>
      <c r="C567" s="31" t="s">
        <v>1032</v>
      </c>
      <c r="D567" s="33">
        <v>0.6</v>
      </c>
      <c r="E567" s="22"/>
      <c r="F567" s="36"/>
      <c r="G567" s="353"/>
      <c r="H567" s="93" t="str">
        <f t="shared" ref="H567:H568" si="396">C567</f>
        <v>黑糖</v>
      </c>
      <c r="I567" s="86">
        <f>IFERROR(IF(LEN(D567)=LENB(D567),ROUND(LEFT(D567,2*LEN(D567)-LENB(D567))/$A$1,3),((ROUND(LEFT(D567,2*LEN(D567)-LENB(D567))/$A$1,3))*VLOOKUP(H567,食材表!$A:$B,2,FALSE))),"")</f>
        <v>1.2E-2</v>
      </c>
      <c r="J567" s="93">
        <f t="shared" ref="J567:J568" si="397">E567</f>
        <v>0</v>
      </c>
      <c r="K567" s="86" t="str">
        <f>IFERROR(IF(LEN(F567)=LENB(F567),ROUND(LEFT(F567,2*LEN(F567)-LENB(F567))/$A$1,3),((ROUND(LEFT(F567,2*LEN(F567)-LENB(F567))/$A$1,3))*VLOOKUP(J567,食材表!$A:$B,2,FALSE))),"")</f>
        <v/>
      </c>
      <c r="L567" s="343"/>
      <c r="M567" s="343"/>
      <c r="N567" s="343"/>
      <c r="O567" s="343"/>
      <c r="P567" s="343"/>
      <c r="Q567" s="343"/>
      <c r="R567" s="343"/>
      <c r="S567" s="343"/>
    </row>
    <row r="568" spans="1:19">
      <c r="A568" s="33" t="str">
        <f>"3"&amp;+$B566</f>
        <v>3黑糖西米露</v>
      </c>
      <c r="B568" s="357"/>
      <c r="C568" s="28" t="s">
        <v>1033</v>
      </c>
      <c r="D568" s="8">
        <v>2</v>
      </c>
      <c r="E568" s="26"/>
      <c r="F568" s="37"/>
      <c r="G568" s="354"/>
      <c r="H568" s="92" t="str">
        <f t="shared" si="396"/>
        <v>冷凍芋頭丁</v>
      </c>
      <c r="I568" s="84">
        <f>IFERROR(IF(LEN(D568)=LENB(D568),ROUND(LEFT(D568,2*LEN(D568)-LENB(D568))/$A$1,3),((ROUND(LEFT(D568,2*LEN(D568)-LENB(D568))/$A$1,3))*VLOOKUP(H568,食材表!$A:$B,2,FALSE))),"")</f>
        <v>0.04</v>
      </c>
      <c r="J568" s="92">
        <f t="shared" si="397"/>
        <v>0</v>
      </c>
      <c r="K568" s="85" t="str">
        <f>IFERROR(IF(LEN(F568)=LENB(F568),ROUND(LEFT(F568,2*LEN(F568)-LENB(F568))/$A$1,3),((ROUND(LEFT(F568,2*LEN(F568)-LENB(F568))/$A$1,3))*VLOOKUP(J568,食材表!$A:$B,2,FALSE))),"")</f>
        <v/>
      </c>
      <c r="L568" s="344"/>
      <c r="M568" s="344"/>
      <c r="N568" s="344"/>
      <c r="O568" s="344"/>
      <c r="P568" s="344"/>
      <c r="Q568" s="344"/>
      <c r="R568" s="344"/>
      <c r="S568" s="344"/>
    </row>
    <row r="569" spans="1:19">
      <c r="A569" s="33" t="str">
        <f>"1"&amp;+$B569</f>
        <v>1芋頭牛奶西米露</v>
      </c>
      <c r="B569" s="355" t="s">
        <v>1178</v>
      </c>
      <c r="C569" s="57" t="s">
        <v>1031</v>
      </c>
      <c r="D569" s="56">
        <v>0.6</v>
      </c>
      <c r="E569" s="60" t="s">
        <v>13</v>
      </c>
      <c r="F569" s="36">
        <v>2</v>
      </c>
      <c r="G569" s="352" t="str">
        <f>B569</f>
        <v>芋頭牛奶西米露</v>
      </c>
      <c r="H569" s="91" t="str">
        <f>C569</f>
        <v>西谷米</v>
      </c>
      <c r="I569" s="83">
        <f>IFERROR(IF(LEN(D569)=LENB(D569),ROUND(LEFT(D569,2*LEN(D569)-LENB(D569))/$A$1,3),((ROUND(LEFT(D569,2*LEN(D569)-LENB(D569))/$A$1,3))*VLOOKUP(H569,食材表!$A:$B,2,FALSE))),"")</f>
        <v>1.2E-2</v>
      </c>
      <c r="J569" s="91" t="str">
        <f>E569</f>
        <v>二砂糖</v>
      </c>
      <c r="K569" s="83">
        <f>IFERROR(IF(LEN(F569)=LENB(F569),ROUND(LEFT(F569,2*LEN(F569)-LENB(F569))/$A$1,3),((ROUND(LEFT(F569,2*LEN(F569)-LENB(F569))/$A$1,3))*VLOOKUP(J569,食材表!$A:$B,2,FALSE))),"")</f>
        <v>0.04</v>
      </c>
      <c r="L569" s="342">
        <f>IFERROR($I569*VLOOKUP($H569,食材表!$A:C,3,FALSE),0)+IFERROR($I570*VLOOKUP($H570,食材表!$A:C,3,FALSE),0)+IFERROR($I571*VLOOKUP($H571,食材表!$A:C,3,FALSE),0)+IFERROR($K569*VLOOKUP($J569,食材表!$A:C,3,FALSE),0)+IFERROR($K570*VLOOKUP($J570,食材表!$A:C,3,FALSE),0)+IFERROR($K571*VLOOKUP($J571,食材表!$A:C,3,FALSE),0)</f>
        <v>1.5272727272727273</v>
      </c>
      <c r="M569" s="342">
        <f>IFERROR($I569*VLOOKUP($H569,食材表!$A:D,4,FALSE),0)+IFERROR($I570*VLOOKUP($H570,食材表!$A:D,4,FALSE),0)+IFERROR($I571*VLOOKUP($H571,食材表!$A:D,4,FALSE),0)+IFERROR($K569*VLOOKUP($J569,食材表!$A:D,4,FALSE),0)+IFERROR($K570*VLOOKUP($J570,食材表!$A:D,4,FALSE),0)+IFERROR($K571*VLOOKUP($J571,食材表!$A:D,4,FALSE),0)</f>
        <v>0</v>
      </c>
      <c r="N569" s="342">
        <f>IFERROR($I569*VLOOKUP($H569,食材表!$A:E,5,FALSE),0)+IFERROR($I570*VLOOKUP($H570,食材表!$A:E,5,FALSE),0)+IFERROR($I571*VLOOKUP($H571,食材表!$A:E,5,FALSE),0)+IFERROR($K569*VLOOKUP($J569,食材表!$A:E,5,FALSE),0)+IFERROR($K570*VLOOKUP($J570,食材表!$A:E,5,FALSE),0)+IFERROR($K571*VLOOKUP($J571,食材表!$A:E,5,FALSE),0)</f>
        <v>0</v>
      </c>
      <c r="O569" s="342">
        <f>IFERROR($I569*VLOOKUP($H569,食材表!$A:F,6,FALSE),0)+IFERROR($I570*VLOOKUP($H570,食材表!$A:F,6,FALSE),0)+IFERROR($I571*VLOOKUP($H571,食材表!$A:F,6,FALSE),0)+IFERROR($K569*VLOOKUP($J569,食材表!$A:F,6,FALSE),0)+IFERROR($K570*VLOOKUP($J570,食材表!$A:F,6,FALSE),0)+IFERROR($K571*VLOOKUP($J571,食材表!$A:F,6,FALSE),0)</f>
        <v>0</v>
      </c>
      <c r="P569" s="342">
        <f>IFERROR($I569*VLOOKUP($H569,食材表!$A:G,7,FALSE),0)+IFERROR($I570*VLOOKUP($H570,食材表!$A:G,7,FALSE),0)+IFERROR($I571*VLOOKUP($H571,食材表!$A:G,7,FALSE),0)+IFERROR($K569*VLOOKUP($J569,食材表!$A:G,7,FALSE),0)+IFERROR($K570*VLOOKUP($J570,食材表!$A:G,7,FALSE),0)+IFERROR($K571*VLOOKUP($J571,食材表!$A:G,7,FALSE),0)</f>
        <v>0</v>
      </c>
      <c r="Q569" s="342">
        <f>IFERROR($I569*VLOOKUP($H569,食材表!$A:H,8,FALSE),0)+IFERROR($I570*VLOOKUP($H570,食材表!$A:H,8,FALSE),0)+IFERROR($I571*VLOOKUP($H571,食材表!$A:H,8,FALSE),0)+IFERROR($K569*VLOOKUP($J569,食材表!$A:H,8,FALSE),0)+IFERROR($K570*VLOOKUP($J570,食材表!$A:H,8,FALSE),0)+IFERROR($K571*VLOOKUP($J571,食材表!$A:H,8,FALSE),0)</f>
        <v>0</v>
      </c>
      <c r="R569" s="342">
        <f>IFERROR($I569*VLOOKUP($H569,食材表!$A:I,9,FALSE),0)+IFERROR($I570*VLOOKUP($H570,食材表!$A:I,9,FALSE),0)+IFERROR($I571*VLOOKUP($H571,食材表!$A:I,9,FALSE),0)+IFERROR($K569*VLOOKUP($J569,食材表!$A:I,9,FALSE),0)+IFERROR($K570*VLOOKUP($J570,食材表!$A:I,9,FALSE),0)+IFERROR($K571*VLOOKUP($J571,食材表!$A:I,9,FALSE),0)</f>
        <v>40</v>
      </c>
      <c r="S569" s="342">
        <f>SUM(L569*70+M569*75+N569*120+O569*25+P569*60+Q569*45+R569*4)</f>
        <v>266.90909090909088</v>
      </c>
    </row>
    <row r="570" spans="1:19">
      <c r="A570" s="33" t="str">
        <f>"2"&amp;+$B569</f>
        <v>2芋頭牛奶西米露</v>
      </c>
      <c r="B570" s="356"/>
      <c r="C570" s="31" t="s">
        <v>1179</v>
      </c>
      <c r="D570" s="33" t="s">
        <v>957</v>
      </c>
      <c r="E570" s="22"/>
      <c r="F570" s="36"/>
      <c r="G570" s="353"/>
      <c r="H570" s="93" t="str">
        <f t="shared" ref="H570:H571" si="398">C570</f>
        <v>鮮奶</v>
      </c>
      <c r="I570" s="86" t="str">
        <f>IFERROR(IF(LEN(D570)=LENB(D570),ROUND(LEFT(D570,2*LEN(D570)-LENB(D570))/$A$1,3),((ROUND(LEFT(D570,2*LEN(D570)-LENB(D570))/$A$1,3))*VLOOKUP(H570,食材表!$A:$B,2,FALSE))),"")</f>
        <v/>
      </c>
      <c r="J570" s="93">
        <f t="shared" ref="J570:J571" si="399">E570</f>
        <v>0</v>
      </c>
      <c r="K570" s="86" t="str">
        <f>IFERROR(IF(LEN(F570)=LENB(F570),ROUND(LEFT(F570,2*LEN(F570)-LENB(F570))/$A$1,3),((ROUND(LEFT(F570,2*LEN(F570)-LENB(F570))/$A$1,3))*VLOOKUP(J570,食材表!$A:$B,2,FALSE))),"")</f>
        <v/>
      </c>
      <c r="L570" s="343"/>
      <c r="M570" s="343"/>
      <c r="N570" s="343"/>
      <c r="O570" s="343"/>
      <c r="P570" s="343"/>
      <c r="Q570" s="343"/>
      <c r="R570" s="343"/>
      <c r="S570" s="343"/>
    </row>
    <row r="571" spans="1:19">
      <c r="A571" s="33" t="str">
        <f>"3"&amp;+$B569</f>
        <v>3芋頭牛奶西米露</v>
      </c>
      <c r="B571" s="357"/>
      <c r="C571" s="28" t="s">
        <v>1033</v>
      </c>
      <c r="D571" s="8">
        <v>2</v>
      </c>
      <c r="E571" s="26"/>
      <c r="F571" s="37"/>
      <c r="G571" s="354"/>
      <c r="H571" s="92" t="str">
        <f t="shared" si="398"/>
        <v>冷凍芋頭丁</v>
      </c>
      <c r="I571" s="84">
        <f>IFERROR(IF(LEN(D571)=LENB(D571),ROUND(LEFT(D571,2*LEN(D571)-LENB(D571))/$A$1,3),((ROUND(LEFT(D571,2*LEN(D571)-LENB(D571))/$A$1,3))*VLOOKUP(H571,食材表!$A:$B,2,FALSE))),"")</f>
        <v>0.04</v>
      </c>
      <c r="J571" s="92">
        <f t="shared" si="399"/>
        <v>0</v>
      </c>
      <c r="K571" s="85" t="str">
        <f>IFERROR(IF(LEN(F571)=LENB(F571),ROUND(LEFT(F571,2*LEN(F571)-LENB(F571))/$A$1,3),((ROUND(LEFT(F571,2*LEN(F571)-LENB(F571))/$A$1,3))*VLOOKUP(J571,食材表!$A:$B,2,FALSE))),"")</f>
        <v/>
      </c>
      <c r="L571" s="344"/>
      <c r="M571" s="344"/>
      <c r="N571" s="344"/>
      <c r="O571" s="344"/>
      <c r="P571" s="344"/>
      <c r="Q571" s="344"/>
      <c r="R571" s="344"/>
      <c r="S571" s="344"/>
    </row>
    <row r="572" spans="1:19">
      <c r="A572" s="33" t="str">
        <f>"1"&amp;+$B572</f>
        <v>1芋香西米露</v>
      </c>
      <c r="B572" s="355" t="s">
        <v>1136</v>
      </c>
      <c r="C572" s="57" t="s">
        <v>1031</v>
      </c>
      <c r="D572" s="56">
        <v>0.6</v>
      </c>
      <c r="E572" s="60" t="s">
        <v>13</v>
      </c>
      <c r="F572" s="36">
        <v>2</v>
      </c>
      <c r="G572" s="352" t="str">
        <f>B572</f>
        <v>芋香西米露</v>
      </c>
      <c r="H572" s="91" t="str">
        <f>C572</f>
        <v>西谷米</v>
      </c>
      <c r="I572" s="83">
        <f>IFERROR(IF(LEN(D572)=LENB(D572),ROUND(LEFT(D572,2*LEN(D572)-LENB(D572))/$A$1,3),((ROUND(LEFT(D572,2*LEN(D572)-LENB(D572))/$A$1,3))*VLOOKUP(H572,食材表!$A:$B,2,FALSE))),"")</f>
        <v>1.2E-2</v>
      </c>
      <c r="J572" s="91" t="str">
        <f>E572</f>
        <v>二砂糖</v>
      </c>
      <c r="K572" s="83">
        <f>IFERROR(IF(LEN(F572)=LENB(F572),ROUND(LEFT(F572,2*LEN(F572)-LENB(F572))/$A$1,3),((ROUND(LEFT(F572,2*LEN(F572)-LENB(F572))/$A$1,3))*VLOOKUP(J572,食材表!$A:$B,2,FALSE))),"")</f>
        <v>0.04</v>
      </c>
      <c r="L572" s="342">
        <f>IFERROR($I572*VLOOKUP($H572,食材表!$A:C,3,FALSE),0)+IFERROR($I573*VLOOKUP($H573,食材表!$A:C,3,FALSE),0)+IFERROR($I574*VLOOKUP($H574,食材表!$A:C,3,FALSE),0)+IFERROR($K572*VLOOKUP($J572,食材表!$A:C,3,FALSE),0)+IFERROR($K573*VLOOKUP($J573,食材表!$A:C,3,FALSE),0)+IFERROR($K574*VLOOKUP($J574,食材表!$A:C,3,FALSE),0)</f>
        <v>1.5272727272727273</v>
      </c>
      <c r="M572" s="342">
        <f>IFERROR($I572*VLOOKUP($H572,食材表!$A:D,4,FALSE),0)+IFERROR($I573*VLOOKUP($H573,食材表!$A:D,4,FALSE),0)+IFERROR($I574*VLOOKUP($H574,食材表!$A:D,4,FALSE),0)+IFERROR($K572*VLOOKUP($J572,食材表!$A:D,4,FALSE),0)+IFERROR($K573*VLOOKUP($J573,食材表!$A:D,4,FALSE),0)+IFERROR($K574*VLOOKUP($J574,食材表!$A:D,4,FALSE),0)</f>
        <v>0</v>
      </c>
      <c r="N572" s="342">
        <f>IFERROR($I572*VLOOKUP($H572,食材表!$A:E,5,FALSE),0)+IFERROR($I573*VLOOKUP($H573,食材表!$A:E,5,FALSE),0)+IFERROR($I574*VLOOKUP($H574,食材表!$A:E,5,FALSE),0)+IFERROR($K572*VLOOKUP($J572,食材表!$A:E,5,FALSE),0)+IFERROR($K573*VLOOKUP($J573,食材表!$A:E,5,FALSE),0)+IFERROR($K574*VLOOKUP($J574,食材表!$A:E,5,FALSE),0)</f>
        <v>0</v>
      </c>
      <c r="O572" s="342">
        <f>IFERROR($I572*VLOOKUP($H572,食材表!$A:F,6,FALSE),0)+IFERROR($I573*VLOOKUP($H573,食材表!$A:F,6,FALSE),0)+IFERROR($I574*VLOOKUP($H574,食材表!$A:F,6,FALSE),0)+IFERROR($K572*VLOOKUP($J572,食材表!$A:F,6,FALSE),0)+IFERROR($K573*VLOOKUP($J573,食材表!$A:F,6,FALSE),0)+IFERROR($K574*VLOOKUP($J574,食材表!$A:F,6,FALSE),0)</f>
        <v>0</v>
      </c>
      <c r="P572" s="342">
        <f>IFERROR($I572*VLOOKUP($H572,食材表!$A:G,7,FALSE),0)+IFERROR($I573*VLOOKUP($H573,食材表!$A:G,7,FALSE),0)+IFERROR($I574*VLOOKUP($H574,食材表!$A:G,7,FALSE),0)+IFERROR($K572*VLOOKUP($J572,食材表!$A:G,7,FALSE),0)+IFERROR($K573*VLOOKUP($J573,食材表!$A:G,7,FALSE),0)+IFERROR($K574*VLOOKUP($J574,食材表!$A:G,7,FALSE),0)</f>
        <v>0</v>
      </c>
      <c r="Q572" s="342">
        <f>IFERROR($I572*VLOOKUP($H572,食材表!$A:H,8,FALSE),0)+IFERROR($I573*VLOOKUP($H573,食材表!$A:H,8,FALSE),0)+IFERROR($I574*VLOOKUP($H574,食材表!$A:H,8,FALSE),0)+IFERROR($K572*VLOOKUP($J572,食材表!$A:H,8,FALSE),0)+IFERROR($K573*VLOOKUP($J573,食材表!$A:H,8,FALSE),0)+IFERROR($K574*VLOOKUP($J574,食材表!$A:H,8,FALSE),0)</f>
        <v>0.14599999999999999</v>
      </c>
      <c r="R572" s="342">
        <f>IFERROR($I572*VLOOKUP($H572,食材表!$A:I,9,FALSE),0)+IFERROR($I573*VLOOKUP($H573,食材表!$A:I,9,FALSE),0)+IFERROR($I574*VLOOKUP($H574,食材表!$A:I,9,FALSE),0)+IFERROR($K572*VLOOKUP($J572,食材表!$A:I,9,FALSE),0)+IFERROR($K573*VLOOKUP($J573,食材表!$A:I,9,FALSE),0)+IFERROR($K574*VLOOKUP($J574,食材表!$A:I,9,FALSE),0)</f>
        <v>40</v>
      </c>
      <c r="S572" s="342">
        <f>SUM(L572*70+M572*75+N572*120+O572*25+P572*60+Q572*45+R572*4)</f>
        <v>273.47909090909093</v>
      </c>
    </row>
    <row r="573" spans="1:19">
      <c r="A573" s="33" t="str">
        <f>"2"&amp;+$B572</f>
        <v>2芋香西米露</v>
      </c>
      <c r="B573" s="356"/>
      <c r="C573" s="31" t="s">
        <v>1137</v>
      </c>
      <c r="D573" s="33" t="s">
        <v>125</v>
      </c>
      <c r="E573" s="22"/>
      <c r="F573" s="36"/>
      <c r="G573" s="353"/>
      <c r="H573" s="93" t="str">
        <f t="shared" ref="H573:H574" si="400">C573</f>
        <v>椰漿</v>
      </c>
      <c r="I573" s="86">
        <f>IFERROR(IF(LEN(D573)=LENB(D573),ROUND(LEFT(D573,2*LEN(D573)-LENB(D573))/$A$1,3),((ROUND(LEFT(D573,2*LEN(D573)-LENB(D573))/$A$1,3))*VLOOKUP(H573,食材表!$A:$B,2,FALSE))),"")</f>
        <v>0.02</v>
      </c>
      <c r="J573" s="93">
        <f t="shared" ref="J573:J574" si="401">E573</f>
        <v>0</v>
      </c>
      <c r="K573" s="86" t="str">
        <f>IFERROR(IF(LEN(F573)=LENB(F573),ROUND(LEFT(F573,2*LEN(F573)-LENB(F573))/$A$1,3),((ROUND(LEFT(F573,2*LEN(F573)-LENB(F573))/$A$1,3))*VLOOKUP(J573,食材表!$A:$B,2,FALSE))),"")</f>
        <v/>
      </c>
      <c r="L573" s="343"/>
      <c r="M573" s="343"/>
      <c r="N573" s="343"/>
      <c r="O573" s="343"/>
      <c r="P573" s="343"/>
      <c r="Q573" s="343"/>
      <c r="R573" s="343"/>
      <c r="S573" s="343"/>
    </row>
    <row r="574" spans="1:19">
      <c r="A574" s="33" t="str">
        <f>"3"&amp;+$B572</f>
        <v>3芋香西米露</v>
      </c>
      <c r="B574" s="357"/>
      <c r="C574" s="28" t="s">
        <v>1033</v>
      </c>
      <c r="D574" s="8">
        <v>2</v>
      </c>
      <c r="E574" s="26"/>
      <c r="F574" s="37"/>
      <c r="G574" s="354"/>
      <c r="H574" s="92" t="str">
        <f t="shared" si="400"/>
        <v>冷凍芋頭丁</v>
      </c>
      <c r="I574" s="84">
        <f>IFERROR(IF(LEN(D574)=LENB(D574),ROUND(LEFT(D574,2*LEN(D574)-LENB(D574))/$A$1,3),((ROUND(LEFT(D574,2*LEN(D574)-LENB(D574))/$A$1,3))*VLOOKUP(H574,食材表!$A:$B,2,FALSE))),"")</f>
        <v>0.04</v>
      </c>
      <c r="J574" s="92">
        <f t="shared" si="401"/>
        <v>0</v>
      </c>
      <c r="K574" s="85" t="str">
        <f>IFERROR(IF(LEN(F574)=LENB(F574),ROUND(LEFT(F574,2*LEN(F574)-LENB(F574))/$A$1,3),((ROUND(LEFT(F574,2*LEN(F574)-LENB(F574))/$A$1,3))*VLOOKUP(J574,食材表!$A:$B,2,FALSE))),"")</f>
        <v/>
      </c>
      <c r="L574" s="344"/>
      <c r="M574" s="344"/>
      <c r="N574" s="344"/>
      <c r="O574" s="344"/>
      <c r="P574" s="344"/>
      <c r="Q574" s="344"/>
      <c r="R574" s="344"/>
      <c r="S574" s="344"/>
    </row>
    <row r="575" spans="1:19">
      <c r="A575" s="33" t="str">
        <f>"1"&amp;+$B575</f>
        <v>1檸檬愛玉</v>
      </c>
      <c r="B575" s="349" t="s">
        <v>1006</v>
      </c>
      <c r="C575" s="57" t="s">
        <v>1007</v>
      </c>
      <c r="D575" s="71">
        <v>6</v>
      </c>
      <c r="E575" s="60"/>
      <c r="F575" s="36"/>
      <c r="G575" s="352" t="str">
        <f>B575</f>
        <v>檸檬愛玉</v>
      </c>
      <c r="H575" s="91" t="str">
        <f>C575</f>
        <v>愛玉凍</v>
      </c>
      <c r="I575" s="83">
        <f>IFERROR(IF(LEN(D575)=LENB(D575),ROUND(LEFT(D575,2*LEN(D575)-LENB(D575))/$A$1,3),((ROUND(LEFT(D575,2*LEN(D575)-LENB(D575))/$A$1,3))*VLOOKUP(H575,食材表!$A:$B,2,FALSE))),"")</f>
        <v>0.12</v>
      </c>
      <c r="J575" s="91">
        <f>E575</f>
        <v>0</v>
      </c>
      <c r="K575" s="83" t="str">
        <f>IFERROR(IF(LEN(F575)=LENB(F575),ROUND(LEFT(F575,2*LEN(F575)-LENB(F575))/$A$1,3),((ROUND(LEFT(F575,2*LEN(F575)-LENB(F575))/$A$1,3))*VLOOKUP(J575,食材表!$A:$B,2,FALSE))),"")</f>
        <v/>
      </c>
      <c r="L575" s="342">
        <f>IFERROR($I575*VLOOKUP($H575,食材表!$A:C,3,FALSE),0)+IFERROR($I576*VLOOKUP($H576,食材表!$A:C,3,FALSE),0)+IFERROR($I577*VLOOKUP($H577,食材表!$A:C,3,FALSE),0)+IFERROR($K575*VLOOKUP($J575,食材表!$A:C,3,FALSE),0)+IFERROR($K576*VLOOKUP($J576,食材表!$A:C,3,FALSE),0)+IFERROR($K577*VLOOKUP($J577,食材表!$A:C,3,FALSE),0)</f>
        <v>0</v>
      </c>
      <c r="M575" s="342">
        <f>IFERROR($I575*VLOOKUP($H575,食材表!$A:D,4,FALSE),0)+IFERROR($I576*VLOOKUP($H576,食材表!$A:D,4,FALSE),0)+IFERROR($I577*VLOOKUP($H577,食材表!$A:D,4,FALSE),0)+IFERROR($K575*VLOOKUP($J575,食材表!$A:D,4,FALSE),0)+IFERROR($K576*VLOOKUP($J576,食材表!$A:D,4,FALSE),0)+IFERROR($K577*VLOOKUP($J577,食材表!$A:D,4,FALSE),0)</f>
        <v>0</v>
      </c>
      <c r="N575" s="342">
        <f>IFERROR($I575*VLOOKUP($H575,食材表!$A:E,5,FALSE),0)+IFERROR($I576*VLOOKUP($H576,食材表!$A:E,5,FALSE),0)+IFERROR($I577*VLOOKUP($H577,食材表!$A:E,5,FALSE),0)+IFERROR($K575*VLOOKUP($J575,食材表!$A:E,5,FALSE),0)+IFERROR($K576*VLOOKUP($J576,食材表!$A:E,5,FALSE),0)+IFERROR($K577*VLOOKUP($J577,食材表!$A:E,5,FALSE),0)</f>
        <v>0</v>
      </c>
      <c r="O575" s="342">
        <f>IFERROR($I575*VLOOKUP($H575,食材表!$A:F,6,FALSE),0)+IFERROR($I576*VLOOKUP($H576,食材表!$A:F,6,FALSE),0)+IFERROR($I577*VLOOKUP($H577,食材表!$A:F,6,FALSE),0)+IFERROR($K575*VLOOKUP($J575,食材表!$A:F,6,FALSE),0)+IFERROR($K576*VLOOKUP($J576,食材表!$A:F,6,FALSE),0)+IFERROR($K577*VLOOKUP($J577,食材表!$A:F,6,FALSE),0)</f>
        <v>0</v>
      </c>
      <c r="P575" s="342">
        <f>IFERROR($I575*VLOOKUP($H575,食材表!$A:G,7,FALSE),0)+IFERROR($I576*VLOOKUP($H576,食材表!$A:G,7,FALSE),0)+IFERROR($I577*VLOOKUP($H577,食材表!$A:G,7,FALSE),0)+IFERROR($K575*VLOOKUP($J575,食材表!$A:G,7,FALSE),0)+IFERROR($K576*VLOOKUP($J576,食材表!$A:G,7,FALSE),0)+IFERROR($K577*VLOOKUP($J577,食材表!$A:G,7,FALSE),0)</f>
        <v>0</v>
      </c>
      <c r="Q575" s="342">
        <f>IFERROR($I575*VLOOKUP($H575,食材表!$A:H,8,FALSE),0)+IFERROR($I576*VLOOKUP($H576,食材表!$A:H,8,FALSE),0)+IFERROR($I577*VLOOKUP($H577,食材表!$A:H,8,FALSE),0)+IFERROR($K575*VLOOKUP($J575,食材表!$A:H,8,FALSE),0)+IFERROR($K576*VLOOKUP($J576,食材表!$A:H,8,FALSE),0)+IFERROR($K577*VLOOKUP($J577,食材表!$A:H,8,FALSE),0)</f>
        <v>0</v>
      </c>
      <c r="R575" s="342">
        <f>IFERROR($I575*VLOOKUP($H575,食材表!$A:I,9,FALSE),0)+IFERROR($I576*VLOOKUP($H576,食材表!$A:I,9,FALSE),0)+IFERROR($I577*VLOOKUP($H577,食材表!$A:I,9,FALSE),0)+IFERROR($K575*VLOOKUP($J575,食材表!$A:I,9,FALSE),0)+IFERROR($K576*VLOOKUP($J576,食材表!$A:I,9,FALSE),0)+IFERROR($K577*VLOOKUP($J577,食材表!$A:I,9,FALSE),0)</f>
        <v>20</v>
      </c>
      <c r="S575" s="342">
        <f>SUM(L575*70+M575*75+N575*120+O575*25+P575*60+Q575*45+R575*4)</f>
        <v>80</v>
      </c>
    </row>
    <row r="576" spans="1:19">
      <c r="A576" s="33" t="str">
        <f>"2"&amp;+$B575</f>
        <v>2檸檬愛玉</v>
      </c>
      <c r="B576" s="350"/>
      <c r="C576" s="32" t="s">
        <v>1008</v>
      </c>
      <c r="D576" s="48" t="s">
        <v>1009</v>
      </c>
      <c r="E576" s="22"/>
      <c r="F576" s="36"/>
      <c r="G576" s="353"/>
      <c r="H576" s="93" t="str">
        <f t="shared" ref="H576:H577" si="402">C576</f>
        <v>檸檬</v>
      </c>
      <c r="I576" s="86">
        <f>IFERROR(IF(LEN(D576)=LENB(D576),ROUND(LEFT(D576,2*LEN(D576)-LENB(D576))/$A$1,3),((ROUND(LEFT(D576,2*LEN(D576)-LENB(D576))/$A$1,3))*VLOOKUP(H576,食材表!$A:$B,2,FALSE))),"")</f>
        <v>1.2E-2</v>
      </c>
      <c r="J576" s="93">
        <f t="shared" ref="J576:J577" si="403">E576</f>
        <v>0</v>
      </c>
      <c r="K576" s="86" t="str">
        <f>IFERROR(IF(LEN(F576)=LENB(F576),ROUND(LEFT(F576,2*LEN(F576)-LENB(F576))/$A$1,3),((ROUND(LEFT(F576,2*LEN(F576)-LENB(F576))/$A$1,3))*VLOOKUP(J576,食材表!$A:$B,2,FALSE))),"")</f>
        <v/>
      </c>
      <c r="L576" s="343"/>
      <c r="M576" s="343"/>
      <c r="N576" s="343"/>
      <c r="O576" s="343"/>
      <c r="P576" s="343"/>
      <c r="Q576" s="343"/>
      <c r="R576" s="343"/>
      <c r="S576" s="343"/>
    </row>
    <row r="577" spans="1:19">
      <c r="A577" s="33" t="str">
        <f>"3"&amp;+$B575</f>
        <v>3檸檬愛玉</v>
      </c>
      <c r="B577" s="351"/>
      <c r="C577" s="28" t="s">
        <v>157</v>
      </c>
      <c r="D577" s="8">
        <v>1</v>
      </c>
      <c r="E577" s="26"/>
      <c r="F577" s="37"/>
      <c r="G577" s="354"/>
      <c r="H577" s="92" t="str">
        <f t="shared" si="402"/>
        <v>二砂糖</v>
      </c>
      <c r="I577" s="84">
        <f>IFERROR(IF(LEN(D577)=LENB(D577),ROUND(LEFT(D577,2*LEN(D577)-LENB(D577))/$A$1,3),((ROUND(LEFT(D577,2*LEN(D577)-LENB(D577))/$A$1,3))*VLOOKUP(H577,食材表!$A:$B,2,FALSE))),"")</f>
        <v>0.02</v>
      </c>
      <c r="J577" s="92">
        <f t="shared" si="403"/>
        <v>0</v>
      </c>
      <c r="K577" s="85" t="str">
        <f>IFERROR(IF(LEN(F577)=LENB(F577),ROUND(LEFT(F577,2*LEN(F577)-LENB(F577))/$A$1,3),((ROUND(LEFT(F577,2*LEN(F577)-LENB(F577))/$A$1,3))*VLOOKUP(J577,食材表!$A:$B,2,FALSE))),"")</f>
        <v/>
      </c>
      <c r="L577" s="344"/>
      <c r="M577" s="344"/>
      <c r="N577" s="344"/>
      <c r="O577" s="344"/>
      <c r="P577" s="344"/>
      <c r="Q577" s="344"/>
      <c r="R577" s="344"/>
      <c r="S577" s="344"/>
    </row>
    <row r="578" spans="1:19">
      <c r="A578" s="33" t="str">
        <f>"1"&amp;+$B578</f>
        <v>1燒仙草</v>
      </c>
      <c r="B578" s="349" t="s">
        <v>1088</v>
      </c>
      <c r="C578" s="60" t="s">
        <v>449</v>
      </c>
      <c r="D578" s="77" t="s">
        <v>1089</v>
      </c>
      <c r="E578" s="60" t="s">
        <v>13</v>
      </c>
      <c r="F578" s="36">
        <v>1</v>
      </c>
      <c r="G578" s="352" t="str">
        <f t="shared" ref="G578" si="404">B578</f>
        <v>燒仙草</v>
      </c>
      <c r="H578" s="91" t="str">
        <f>C578</f>
        <v>仙草汁</v>
      </c>
      <c r="I578" s="83" t="str">
        <f>IFERROR(IF(LEN(D578)=LENB(D578),ROUND(LEFT(D578,2*LEN(D578)-LENB(D578))/$A$1,3),((ROUND(LEFT(D578,2*LEN(D578)-LENB(D578))/$A$1,3))*VLOOKUP(H578,食材表!$A:$B,2,FALSE))),"")</f>
        <v/>
      </c>
      <c r="J578" s="91" t="str">
        <f>E578</f>
        <v>二砂糖</v>
      </c>
      <c r="K578" s="83">
        <f>IFERROR(IF(LEN(F578)=LENB(F578),ROUND(LEFT(F578,2*LEN(F578)-LENB(F578))/$A$1,3),((ROUND(LEFT(F578,2*LEN(F578)-LENB(F578))/$A$1,3))*VLOOKUP(J578,食材表!$A:$B,2,FALSE))),"")</f>
        <v>0.02</v>
      </c>
      <c r="L578" s="342">
        <f>IFERROR($I578*VLOOKUP($H578,食材表!$A:C,3,FALSE),0)+IFERROR($I579*VLOOKUP($H579,食材表!$A:C,3,FALSE),0)+IFERROR($I580*VLOOKUP($H580,食材表!$A:C,3,FALSE),0)+IFERROR($K578*VLOOKUP($J578,食材表!$A:C,3,FALSE),0)+IFERROR($K579*VLOOKUP($J579,食材表!$A:C,3,FALSE),0)+IFERROR($K580*VLOOKUP($J580,食材表!$A:C,3,FALSE),0)</f>
        <v>1.0666666666666669</v>
      </c>
      <c r="M578" s="342">
        <f>IFERROR($I578*VLOOKUP($H578,食材表!$A:D,4,FALSE),0)+IFERROR($I579*VLOOKUP($H579,食材表!$A:D,4,FALSE),0)+IFERROR($I580*VLOOKUP($H580,食材表!$A:D,4,FALSE),0)+IFERROR($K578*VLOOKUP($J578,食材表!$A:D,4,FALSE),0)+IFERROR($K579*VLOOKUP($J579,食材表!$A:D,4,FALSE),0)+IFERROR($K580*VLOOKUP($J580,食材表!$A:D,4,FALSE),0)</f>
        <v>0</v>
      </c>
      <c r="N578" s="342">
        <f>IFERROR($I578*VLOOKUP($H578,食材表!$A:E,5,FALSE),0)+IFERROR($I579*VLOOKUP($H579,食材表!$A:E,5,FALSE),0)+IFERROR($I580*VLOOKUP($H580,食材表!$A:E,5,FALSE),0)+IFERROR($K578*VLOOKUP($J578,食材表!$A:E,5,FALSE),0)+IFERROR($K579*VLOOKUP($J579,食材表!$A:E,5,FALSE),0)+IFERROR($K580*VLOOKUP($J580,食材表!$A:E,5,FALSE),0)</f>
        <v>0</v>
      </c>
      <c r="O578" s="342">
        <f>IFERROR($I578*VLOOKUP($H578,食材表!$A:F,6,FALSE),0)+IFERROR($I579*VLOOKUP($H579,食材表!$A:F,6,FALSE),0)+IFERROR($I580*VLOOKUP($H580,食材表!$A:F,6,FALSE),0)+IFERROR($K578*VLOOKUP($J578,食材表!$A:F,6,FALSE),0)+IFERROR($K579*VLOOKUP($J579,食材表!$A:F,6,FALSE),0)+IFERROR($K580*VLOOKUP($J580,食材表!$A:F,6,FALSE),0)</f>
        <v>0</v>
      </c>
      <c r="P578" s="342">
        <f>IFERROR($I578*VLOOKUP($H578,食材表!$A:G,7,FALSE),0)+IFERROR($I579*VLOOKUP($H579,食材表!$A:G,7,FALSE),0)+IFERROR($I580*VLOOKUP($H580,食材表!$A:G,7,FALSE),0)+IFERROR($K578*VLOOKUP($J578,食材表!$A:G,7,FALSE),0)+IFERROR($K579*VLOOKUP($J579,食材表!$A:G,7,FALSE),0)+IFERROR($K580*VLOOKUP($J580,食材表!$A:G,7,FALSE),0)</f>
        <v>0</v>
      </c>
      <c r="Q578" s="342">
        <f>IFERROR($I578*VLOOKUP($H578,食材表!$A:H,8,FALSE),0)+IFERROR($I579*VLOOKUP($H579,食材表!$A:H,8,FALSE),0)+IFERROR($I580*VLOOKUP($H580,食材表!$A:H,8,FALSE),0)+IFERROR($K578*VLOOKUP($J578,食材表!$A:H,8,FALSE),0)+IFERROR($K579*VLOOKUP($J579,食材表!$A:H,8,FALSE),0)+IFERROR($K580*VLOOKUP($J580,食材表!$A:H,8,FALSE),0)</f>
        <v>0</v>
      </c>
      <c r="R578" s="342">
        <f>IFERROR($I578*VLOOKUP($H578,食材表!$A:I,9,FALSE),0)+IFERROR($I579*VLOOKUP($H579,食材表!$A:I,9,FALSE),0)+IFERROR($I580*VLOOKUP($H580,食材表!$A:I,9,FALSE),0)+IFERROR($K578*VLOOKUP($J578,食材表!$A:I,9,FALSE),0)+IFERROR($K579*VLOOKUP($J579,食材表!$A:I,9,FALSE),0)+IFERROR($K580*VLOOKUP($J580,食材表!$A:I,9,FALSE),0)</f>
        <v>20</v>
      </c>
      <c r="S578" s="342">
        <f t="shared" ref="S578" si="405">SUM(L578*70+M578*75+N578*120+O578*25+P578*60+Q578*45+R578*4)</f>
        <v>154.66666666666669</v>
      </c>
    </row>
    <row r="579" spans="1:19">
      <c r="A579" s="33" t="str">
        <f>"2"&amp;+$B578</f>
        <v>2燒仙草</v>
      </c>
      <c r="B579" s="350"/>
      <c r="C579" s="22" t="s">
        <v>937</v>
      </c>
      <c r="D579" s="36">
        <v>0.8</v>
      </c>
      <c r="E579" s="22"/>
      <c r="F579" s="36"/>
      <c r="G579" s="353"/>
      <c r="H579" s="93" t="str">
        <f>C579</f>
        <v>大紅豆</v>
      </c>
      <c r="I579" s="86">
        <f>IFERROR(IF(LEN(D579)=LENB(D579),ROUND(LEFT(D579,2*LEN(D579)-LENB(D579))/$A$1,3),((ROUND(LEFT(D579,2*LEN(D579)-LENB(D579))/$A$1,3))*VLOOKUP(H579,食材表!$A:$B,2,FALSE))),"")</f>
        <v>1.6E-2</v>
      </c>
      <c r="J579" s="93">
        <f>E579</f>
        <v>0</v>
      </c>
      <c r="K579" s="86" t="str">
        <f>IFERROR(IF(LEN(F579)=LENB(F579),ROUND(LEFT(F579,2*LEN(F579)-LENB(F579))/$A$1,3),((ROUND(LEFT(F579,2*LEN(F579)-LENB(F579))/$A$1,3))*VLOOKUP(J579,食材表!$A:$B,2,FALSE))),"")</f>
        <v/>
      </c>
      <c r="L579" s="343"/>
      <c r="M579" s="343"/>
      <c r="N579" s="343"/>
      <c r="O579" s="343"/>
      <c r="P579" s="343"/>
      <c r="Q579" s="343"/>
      <c r="R579" s="343"/>
      <c r="S579" s="343"/>
    </row>
    <row r="580" spans="1:19">
      <c r="A580" s="33" t="str">
        <f>"3"&amp;+$B578</f>
        <v>3燒仙草</v>
      </c>
      <c r="B580" s="351"/>
      <c r="C580" s="26" t="s">
        <v>303</v>
      </c>
      <c r="D580" s="37">
        <v>0.8</v>
      </c>
      <c r="E580" s="26"/>
      <c r="F580" s="37"/>
      <c r="G580" s="354"/>
      <c r="H580" s="92" t="str">
        <f>C580</f>
        <v>粉圓</v>
      </c>
      <c r="I580" s="84">
        <f>IFERROR(IF(LEN(D580)=LENB(D580),ROUND(LEFT(D580,2*LEN(D580)-LENB(D580))/$A$1,3),((ROUND(LEFT(D580,2*LEN(D580)-LENB(D580))/$A$1,3))*VLOOKUP(H580,食材表!$A:$B,2,FALSE))),"")</f>
        <v>1.6E-2</v>
      </c>
      <c r="J580" s="92">
        <f>E580</f>
        <v>0</v>
      </c>
      <c r="K580" s="85" t="str">
        <f>IFERROR(IF(LEN(F580)=LENB(F580),ROUND(LEFT(F580,2*LEN(F580)-LENB(F580))/$A$1,3),((ROUND(LEFT(F580,2*LEN(F580)-LENB(F580))/$A$1,3))*VLOOKUP(J580,食材表!$A:$B,2,FALSE))),"")</f>
        <v/>
      </c>
      <c r="L580" s="344"/>
      <c r="M580" s="344"/>
      <c r="N580" s="344"/>
      <c r="O580" s="344"/>
      <c r="P580" s="344"/>
      <c r="Q580" s="344"/>
      <c r="R580" s="344"/>
      <c r="S580" s="344"/>
    </row>
    <row r="581" spans="1:19">
      <c r="A581" s="33" t="str">
        <f>"1"&amp;+$B581</f>
        <v>1八寶粥</v>
      </c>
      <c r="B581" s="380" t="s">
        <v>1037</v>
      </c>
      <c r="C581" s="57" t="s">
        <v>1038</v>
      </c>
      <c r="D581" s="56">
        <v>4</v>
      </c>
      <c r="E581" s="55"/>
      <c r="F581" s="33"/>
      <c r="G581" s="352" t="str">
        <f>B581</f>
        <v>八寶粥</v>
      </c>
      <c r="H581" s="91" t="str">
        <f>C581</f>
        <v>八寶雜糧</v>
      </c>
      <c r="I581" s="83">
        <f>IFERROR(IF(LEN(D581)=LENB(D581),ROUND(LEFT(D581,2*LEN(D581)-LENB(D581))/$A$1,3),((ROUND(LEFT(D581,2*LEN(D581)-LENB(D581))/$A$1,3))*VLOOKUP(H581,食材表!$A:$B,2,FALSE))),"")</f>
        <v>0.08</v>
      </c>
      <c r="J581" s="91">
        <f>E581</f>
        <v>0</v>
      </c>
      <c r="K581" s="83" t="str">
        <f>IFERROR(IF(LEN(F581)=LENB(F581),ROUND(LEFT(F581,2*LEN(F581)-LENB(F581))/$A$1,3),((ROUND(LEFT(F581,2*LEN(F581)-LENB(F581))/$A$1,3))*VLOOKUP(J581,食材表!$A:$B,2,FALSE))),"")</f>
        <v/>
      </c>
      <c r="L581" s="342">
        <f>IFERROR($I581*VLOOKUP($H581,食材表!$A:C,3,FALSE),0)+IFERROR($I582*VLOOKUP($H582,食材表!$A:C,3,FALSE),0)+IFERROR($I583*VLOOKUP($H583,食材表!$A:C,3,FALSE),0)+IFERROR($K581*VLOOKUP($J581,食材表!$A:C,3,FALSE),0)+IFERROR($K582*VLOOKUP($J582,食材表!$A:C,3,FALSE),0)+IFERROR($K583*VLOOKUP($J583,食材表!$A:C,3,FALSE),0)</f>
        <v>0</v>
      </c>
      <c r="M581" s="342">
        <f>IFERROR($I581*VLOOKUP($H581,食材表!$A:D,4,FALSE),0)+IFERROR($I582*VLOOKUP($H582,食材表!$A:D,4,FALSE),0)+IFERROR($I583*VLOOKUP($H583,食材表!$A:D,4,FALSE),0)+IFERROR($K581*VLOOKUP($J581,食材表!$A:D,4,FALSE),0)+IFERROR($K582*VLOOKUP($J582,食材表!$A:D,4,FALSE),0)+IFERROR($K583*VLOOKUP($J583,食材表!$A:D,4,FALSE),0)</f>
        <v>0</v>
      </c>
      <c r="N581" s="342">
        <f>IFERROR($I581*VLOOKUP($H581,食材表!$A:E,5,FALSE),0)+IFERROR($I582*VLOOKUP($H582,食材表!$A:E,5,FALSE),0)+IFERROR($I583*VLOOKUP($H583,食材表!$A:E,5,FALSE),0)+IFERROR($K581*VLOOKUP($J581,食材表!$A:E,5,FALSE),0)+IFERROR($K582*VLOOKUP($J582,食材表!$A:E,5,FALSE),0)+IFERROR($K583*VLOOKUP($J583,食材表!$A:E,5,FALSE),0)</f>
        <v>0</v>
      </c>
      <c r="O581" s="342">
        <f>IFERROR($I581*VLOOKUP($H581,食材表!$A:F,6,FALSE),0)+IFERROR($I582*VLOOKUP($H582,食材表!$A:F,6,FALSE),0)+IFERROR($I583*VLOOKUP($H583,食材表!$A:F,6,FALSE),0)+IFERROR($K581*VLOOKUP($J581,食材表!$A:F,6,FALSE),0)+IFERROR($K582*VLOOKUP($J582,食材表!$A:F,6,FALSE),0)+IFERROR($K583*VLOOKUP($J583,食材表!$A:F,6,FALSE),0)</f>
        <v>0</v>
      </c>
      <c r="P581" s="342">
        <f>IFERROR($I581*VLOOKUP($H581,食材表!$A:G,7,FALSE),0)+IFERROR($I582*VLOOKUP($H582,食材表!$A:G,7,FALSE),0)+IFERROR($I583*VLOOKUP($H583,食材表!$A:G,7,FALSE),0)+IFERROR($K581*VLOOKUP($J581,食材表!$A:G,7,FALSE),0)+IFERROR($K582*VLOOKUP($J582,食材表!$A:G,7,FALSE),0)+IFERROR($K583*VLOOKUP($J583,食材表!$A:G,7,FALSE),0)</f>
        <v>0</v>
      </c>
      <c r="Q581" s="342">
        <f>IFERROR($I581*VLOOKUP($H581,食材表!$A:H,8,FALSE),0)+IFERROR($I582*VLOOKUP($H582,食材表!$A:H,8,FALSE),0)+IFERROR($I583*VLOOKUP($H583,食材表!$A:H,8,FALSE),0)+IFERROR($K581*VLOOKUP($J581,食材表!$A:H,8,FALSE),0)+IFERROR($K582*VLOOKUP($J582,食材表!$A:H,8,FALSE),0)+IFERROR($K583*VLOOKUP($J583,食材表!$A:H,8,FALSE),0)</f>
        <v>0</v>
      </c>
      <c r="R581" s="342">
        <f>IFERROR($I581*VLOOKUP($H581,食材表!$A:I,9,FALSE),0)+IFERROR($I582*VLOOKUP($H582,食材表!$A:I,9,FALSE),0)+IFERROR($I583*VLOOKUP($H583,食材表!$A:I,9,FALSE),0)+IFERROR($K581*VLOOKUP($J581,食材表!$A:I,9,FALSE),0)+IFERROR($K582*VLOOKUP($J582,食材表!$A:I,9,FALSE),0)+IFERROR($K583*VLOOKUP($J583,食材表!$A:I,9,FALSE),0)</f>
        <v>20</v>
      </c>
      <c r="S581" s="342">
        <f>SUM(L581*70+M581*75+N581*120+O581*25+P581*60+Q581*45+R581*4)</f>
        <v>80</v>
      </c>
    </row>
    <row r="582" spans="1:19">
      <c r="A582" s="33" t="str">
        <f>"2"&amp;+$B581</f>
        <v>2八寶粥</v>
      </c>
      <c r="B582" s="381"/>
      <c r="C582" s="31" t="s">
        <v>13</v>
      </c>
      <c r="D582" s="33">
        <v>1</v>
      </c>
      <c r="E582" s="31"/>
      <c r="F582" s="33"/>
      <c r="G582" s="353"/>
      <c r="H582" s="93" t="str">
        <f t="shared" ref="H582:H583" si="406">C582</f>
        <v>二砂糖</v>
      </c>
      <c r="I582" s="86">
        <f>IFERROR(IF(LEN(D582)=LENB(D582),ROUND(LEFT(D582,2*LEN(D582)-LENB(D582))/$A$1,3),((ROUND(LEFT(D582,2*LEN(D582)-LENB(D582))/$A$1,3))*VLOOKUP(H582,食材表!$A:$B,2,FALSE))),"")</f>
        <v>0.02</v>
      </c>
      <c r="J582" s="93">
        <f t="shared" ref="J582:J583" si="407">E582</f>
        <v>0</v>
      </c>
      <c r="K582" s="86" t="str">
        <f>IFERROR(IF(LEN(F582)=LENB(F582),ROUND(LEFT(F582,2*LEN(F582)-LENB(F582))/$A$1,3),((ROUND(LEFT(F582,2*LEN(F582)-LENB(F582))/$A$1,3))*VLOOKUP(J582,食材表!$A:$B,2,FALSE))),"")</f>
        <v/>
      </c>
      <c r="L582" s="343"/>
      <c r="M582" s="343"/>
      <c r="N582" s="343"/>
      <c r="O582" s="343"/>
      <c r="P582" s="343"/>
      <c r="Q582" s="343"/>
      <c r="R582" s="343"/>
      <c r="S582" s="343"/>
    </row>
    <row r="583" spans="1:19">
      <c r="A583" s="33" t="str">
        <f>"3"&amp;+$B581</f>
        <v>3八寶粥</v>
      </c>
      <c r="B583" s="382"/>
      <c r="C583" s="28"/>
      <c r="D583" s="8"/>
      <c r="E583" s="28"/>
      <c r="F583" s="8"/>
      <c r="G583" s="354"/>
      <c r="H583" s="92">
        <f t="shared" si="406"/>
        <v>0</v>
      </c>
      <c r="I583" s="84" t="str">
        <f>IFERROR(IF(LEN(D583)=LENB(D583),ROUND(LEFT(D583,2*LEN(D583)-LENB(D583))/$A$1,3),((ROUND(LEFT(D583,2*LEN(D583)-LENB(D583))/$A$1,3))*VLOOKUP(H583,食材表!$A:$B,2,FALSE))),"")</f>
        <v/>
      </c>
      <c r="J583" s="92">
        <f t="shared" si="407"/>
        <v>0</v>
      </c>
      <c r="K583" s="85" t="str">
        <f>IFERROR(IF(LEN(F583)=LENB(F583),ROUND(LEFT(F583,2*LEN(F583)-LENB(F583))/$A$1,3),((ROUND(LEFT(F583,2*LEN(F583)-LENB(F583))/$A$1,3))*VLOOKUP(J583,食材表!$A:$B,2,FALSE))),"")</f>
        <v/>
      </c>
      <c r="L583" s="344"/>
      <c r="M583" s="344"/>
      <c r="N583" s="344"/>
      <c r="O583" s="344"/>
      <c r="P583" s="344"/>
      <c r="Q583" s="344"/>
      <c r="R583" s="344"/>
      <c r="S583" s="344"/>
    </row>
    <row r="584" spans="1:19">
      <c r="A584" s="33" t="str">
        <f>"1"&amp;+$B584</f>
        <v>1關東煮</v>
      </c>
      <c r="B584" s="349" t="s">
        <v>151</v>
      </c>
      <c r="C584" s="60" t="s">
        <v>51</v>
      </c>
      <c r="D584" s="59">
        <v>2.5</v>
      </c>
      <c r="E584" s="60" t="s">
        <v>934</v>
      </c>
      <c r="F584" s="36">
        <v>0.5</v>
      </c>
      <c r="G584" s="352" t="str">
        <f>B584</f>
        <v>關東煮</v>
      </c>
      <c r="H584" s="91" t="str">
        <f>C584</f>
        <v>白蘿蔔</v>
      </c>
      <c r="I584" s="83">
        <f>IFERROR(IF(LEN(D584)=LENB(D584),ROUND(LEFT(D584,2*LEN(D584)-LENB(D584))/$A$1,3),((ROUND(LEFT(D584,2*LEN(D584)-LENB(D584))/$A$1,3))*VLOOKUP(H584,食材表!$A:$B,2,FALSE))),"")</f>
        <v>0.05</v>
      </c>
      <c r="J584" s="91" t="str">
        <f>E584</f>
        <v>油豆腐丁</v>
      </c>
      <c r="K584" s="83">
        <f>IFERROR(IF(LEN(F584)=LENB(F584),ROUND(LEFT(F584,2*LEN(F584)-LENB(F584))/$A$1,3),((ROUND(LEFT(F584,2*LEN(F584)-LENB(F584))/$A$1,3))*VLOOKUP(J584,食材表!$A:$B,2,FALSE))),"")</f>
        <v>0.01</v>
      </c>
      <c r="L584" s="342">
        <f>IFERROR($I584*VLOOKUP($H584,食材表!$A:C,3,FALSE),0)+IFERROR($I585*VLOOKUP($H585,食材表!$A:C,3,FALSE),0)+IFERROR($I586*VLOOKUP($H586,食材表!$A:C,3,FALSE),0)+IFERROR($K584*VLOOKUP($J584,食材表!$A:C,3,FALSE),0)+IFERROR($K585*VLOOKUP($J585,食材表!$A:C,3,FALSE),0)+IFERROR($K586*VLOOKUP($J586,食材表!$A:C,3,FALSE),0)</f>
        <v>0</v>
      </c>
      <c r="M584" s="342">
        <f>IFERROR($I584*VLOOKUP($H584,食材表!$A:D,4,FALSE),0)+IFERROR($I585*VLOOKUP($H585,食材表!$A:D,4,FALSE),0)+IFERROR($I586*VLOOKUP($H586,食材表!$A:D,4,FALSE),0)+IFERROR($K584*VLOOKUP($J584,食材表!$A:D,4,FALSE),0)+IFERROR($K585*VLOOKUP($J585,食材表!$A:D,4,FALSE),0)+IFERROR($K586*VLOOKUP($J586,食材表!$A:D,4,FALSE),0)</f>
        <v>0.2</v>
      </c>
      <c r="N584" s="342">
        <f>IFERROR($I584*VLOOKUP($H584,食材表!$A:E,5,FALSE),0)+IFERROR($I585*VLOOKUP($H585,食材表!$A:E,5,FALSE),0)+IFERROR($I586*VLOOKUP($H586,食材表!$A:E,5,FALSE),0)+IFERROR($K584*VLOOKUP($J584,食材表!$A:E,5,FALSE),0)+IFERROR($K585*VLOOKUP($J585,食材表!$A:E,5,FALSE),0)+IFERROR($K586*VLOOKUP($J586,食材表!$A:E,5,FALSE),0)</f>
        <v>0</v>
      </c>
      <c r="O584" s="342">
        <f>IFERROR($I584*VLOOKUP($H584,食材表!$A:F,6,FALSE),0)+IFERROR($I585*VLOOKUP($H585,食材表!$A:F,6,FALSE),0)+IFERROR($I586*VLOOKUP($H586,食材表!$A:F,6,FALSE),0)+IFERROR($K584*VLOOKUP($J584,食材表!$A:F,6,FALSE),0)+IFERROR($K585*VLOOKUP($J585,食材表!$A:F,6,FALSE),0)+IFERROR($K586*VLOOKUP($J586,食材表!$A:F,6,FALSE),0)</f>
        <v>0</v>
      </c>
      <c r="P584" s="342">
        <f>IFERROR($I584*VLOOKUP($H584,食材表!$A:G,7,FALSE),0)+IFERROR($I585*VLOOKUP($H585,食材表!$A:G,7,FALSE),0)+IFERROR($I586*VLOOKUP($H586,食材表!$A:G,7,FALSE),0)+IFERROR($K584*VLOOKUP($J584,食材表!$A:G,7,FALSE),0)+IFERROR($K585*VLOOKUP($J585,食材表!$A:G,7,FALSE),0)+IFERROR($K586*VLOOKUP($J586,食材表!$A:G,7,FALSE),0)</f>
        <v>0</v>
      </c>
      <c r="Q584" s="342">
        <f>IFERROR($I584*VLOOKUP($H584,食材表!$A:H,8,FALSE),0)+IFERROR($I585*VLOOKUP($H585,食材表!$A:H,8,FALSE),0)+IFERROR($I586*VLOOKUP($H586,食材表!$A:H,8,FALSE),0)+IFERROR($K584*VLOOKUP($J584,食材表!$A:H,8,FALSE),0)+IFERROR($K585*VLOOKUP($J585,食材表!$A:H,8,FALSE),0)+IFERROR($K586*VLOOKUP($J586,食材表!$A:H,8,FALSE),0)</f>
        <v>0</v>
      </c>
      <c r="R584" s="342">
        <f>IFERROR($I584*VLOOKUP($H584,食材表!$A:I,9,FALSE),0)+IFERROR($I585*VLOOKUP($H585,食材表!$A:I,9,FALSE),0)+IFERROR($I586*VLOOKUP($H586,食材表!$A:I,9,FALSE),0)+IFERROR($K584*VLOOKUP($J584,食材表!$A:I,9,FALSE),0)+IFERROR($K585*VLOOKUP($J585,食材表!$A:I,9,FALSE),0)+IFERROR($K586*VLOOKUP($J586,食材表!$A:I,9,FALSE),0)</f>
        <v>0</v>
      </c>
      <c r="S584" s="342">
        <f>SUM(L584*70+M584*75+N584*120+O584*25+P584*60+Q584*45+R584*4)</f>
        <v>15</v>
      </c>
    </row>
    <row r="585" spans="1:19">
      <c r="A585" s="33" t="str">
        <f>"2"&amp;+$B584</f>
        <v>2關東煮</v>
      </c>
      <c r="B585" s="350"/>
      <c r="C585" s="22" t="s">
        <v>982</v>
      </c>
      <c r="D585" s="36">
        <v>0.6</v>
      </c>
      <c r="E585" s="22" t="s">
        <v>171</v>
      </c>
      <c r="F585" s="36">
        <v>0.5</v>
      </c>
      <c r="G585" s="353"/>
      <c r="H585" s="93" t="str">
        <f t="shared" ref="H585:H586" si="408">C585</f>
        <v>豬血糕</v>
      </c>
      <c r="I585" s="86">
        <f>IFERROR(IF(LEN(D585)=LENB(D585),ROUND(LEFT(D585,2*LEN(D585)-LENB(D585))/$A$1,3),((ROUND(LEFT(D585,2*LEN(D585)-LENB(D585))/$A$1,3))*VLOOKUP(H585,食材表!$A:$B,2,FALSE))),"")</f>
        <v>1.2E-2</v>
      </c>
      <c r="J585" s="93" t="str">
        <f t="shared" ref="J585:J586" si="409">E585</f>
        <v>貢丸</v>
      </c>
      <c r="K585" s="86">
        <f>IFERROR(IF(LEN(F585)=LENB(F585),ROUND(LEFT(F585,2*LEN(F585)-LENB(F585))/$A$1,3),((ROUND(LEFT(F585,2*LEN(F585)-LENB(F585))/$A$1,3))*VLOOKUP(J585,食材表!$A:$B,2,FALSE))),"")</f>
        <v>0.01</v>
      </c>
      <c r="L585" s="343"/>
      <c r="M585" s="343"/>
      <c r="N585" s="343"/>
      <c r="O585" s="343"/>
      <c r="P585" s="343"/>
      <c r="Q585" s="343"/>
      <c r="R585" s="343"/>
      <c r="S585" s="343"/>
    </row>
    <row r="586" spans="1:19">
      <c r="A586" s="33" t="str">
        <f>"3"&amp;+$B584</f>
        <v>3關東煮</v>
      </c>
      <c r="B586" s="351"/>
      <c r="C586" s="26" t="s">
        <v>983</v>
      </c>
      <c r="D586" s="37">
        <v>0.5</v>
      </c>
      <c r="E586" s="26"/>
      <c r="F586" s="37"/>
      <c r="G586" s="354"/>
      <c r="H586" s="92" t="str">
        <f t="shared" si="408"/>
        <v>甜不辣條</v>
      </c>
      <c r="I586" s="84">
        <f>IFERROR(IF(LEN(D586)=LENB(D586),ROUND(LEFT(D586,2*LEN(D586)-LENB(D586))/$A$1,3),((ROUND(LEFT(D586,2*LEN(D586)-LENB(D586))/$A$1,3))*VLOOKUP(H586,食材表!$A:$B,2,FALSE))),"")</f>
        <v>0.01</v>
      </c>
      <c r="J586" s="92">
        <f t="shared" si="409"/>
        <v>0</v>
      </c>
      <c r="K586" s="85" t="str">
        <f>IFERROR(IF(LEN(F586)=LENB(F586),ROUND(LEFT(F586,2*LEN(F586)-LENB(F586))/$A$1,3),((ROUND(LEFT(F586,2*LEN(F586)-LENB(F586))/$A$1,3))*VLOOKUP(J586,食材表!$A:$B,2,FALSE))),"")</f>
        <v/>
      </c>
      <c r="L586" s="344"/>
      <c r="M586" s="344"/>
      <c r="N586" s="344"/>
      <c r="O586" s="344"/>
      <c r="P586" s="344"/>
      <c r="Q586" s="344"/>
      <c r="R586" s="344"/>
      <c r="S586" s="344"/>
    </row>
    <row r="587" spans="1:19">
      <c r="A587" s="33" t="str">
        <f>"1"&amp;+$B587</f>
        <v>1滷味拼盤</v>
      </c>
      <c r="B587" s="349" t="s">
        <v>1175</v>
      </c>
      <c r="C587" s="60" t="s">
        <v>51</v>
      </c>
      <c r="D587" s="59">
        <v>1.5</v>
      </c>
      <c r="E587" s="60"/>
      <c r="F587" s="36"/>
      <c r="G587" s="352" t="str">
        <f>B587</f>
        <v>滷味拼盤</v>
      </c>
      <c r="H587" s="91" t="str">
        <f>C587</f>
        <v>白蘿蔔</v>
      </c>
      <c r="I587" s="83">
        <f>IFERROR(IF(LEN(D587)=LENB(D587),ROUND(LEFT(D587,2*LEN(D587)-LENB(D587))/$A$1,3),((ROUND(LEFT(D587,2*LEN(D587)-LENB(D587))/$A$1,3))*VLOOKUP(H587,食材表!$A:$B,2,FALSE))),"")</f>
        <v>0.03</v>
      </c>
      <c r="J587" s="91">
        <f>E587</f>
        <v>0</v>
      </c>
      <c r="K587" s="83" t="str">
        <f>IFERROR(IF(LEN(F587)=LENB(F587),ROUND(LEFT(F587,2*LEN(F587)-LENB(F587))/$A$1,3),((ROUND(LEFT(F587,2*LEN(F587)-LENB(F587))/$A$1,3))*VLOOKUP(J587,食材表!$A:$B,2,FALSE))),"")</f>
        <v/>
      </c>
      <c r="L587" s="342">
        <f>IFERROR($I587*VLOOKUP($H587,食材表!$A:C,3,FALSE),0)+IFERROR($I588*VLOOKUP($H588,食材表!$A:C,3,FALSE),0)+IFERROR($I589*VLOOKUP($H589,食材表!$A:C,3,FALSE),0)+IFERROR($K587*VLOOKUP($J587,食材表!$A:C,3,FALSE),0)+IFERROR($K588*VLOOKUP($J588,食材表!$A:C,3,FALSE),0)+IFERROR($K589*VLOOKUP($J589,食材表!$A:C,3,FALSE),0)</f>
        <v>0</v>
      </c>
      <c r="M587" s="342">
        <f>IFERROR($I587*VLOOKUP($H587,食材表!$A:D,4,FALSE),0)+IFERROR($I588*VLOOKUP($H588,食材表!$A:D,4,FALSE),0)+IFERROR($I589*VLOOKUP($H589,食材表!$A:D,4,FALSE),0)+IFERROR($K587*VLOOKUP($J587,食材表!$A:D,4,FALSE),0)+IFERROR($K588*VLOOKUP($J588,食材表!$A:D,4,FALSE),0)+IFERROR($K589*VLOOKUP($J589,食材表!$A:D,4,FALSE),0)</f>
        <v>0.85714285714285721</v>
      </c>
      <c r="N587" s="342">
        <f>IFERROR($I587*VLOOKUP($H587,食材表!$A:E,5,FALSE),0)+IFERROR($I588*VLOOKUP($H588,食材表!$A:E,5,FALSE),0)+IFERROR($I589*VLOOKUP($H589,食材表!$A:E,5,FALSE),0)+IFERROR($K587*VLOOKUP($J587,食材表!$A:E,5,FALSE),0)+IFERROR($K588*VLOOKUP($J588,食材表!$A:E,5,FALSE),0)+IFERROR($K589*VLOOKUP($J589,食材表!$A:E,5,FALSE),0)</f>
        <v>0</v>
      </c>
      <c r="O587" s="342">
        <f>IFERROR($I587*VLOOKUP($H587,食材表!$A:F,6,FALSE),0)+IFERROR($I588*VLOOKUP($H588,食材表!$A:F,6,FALSE),0)+IFERROR($I589*VLOOKUP($H589,食材表!$A:F,6,FALSE),0)+IFERROR($K587*VLOOKUP($J587,食材表!$A:F,6,FALSE),0)+IFERROR($K588*VLOOKUP($J588,食材表!$A:F,6,FALSE),0)+IFERROR($K589*VLOOKUP($J589,食材表!$A:F,6,FALSE),0)</f>
        <v>0.12</v>
      </c>
      <c r="P587" s="342">
        <f>IFERROR($I587*VLOOKUP($H587,食材表!$A:G,7,FALSE),0)+IFERROR($I588*VLOOKUP($H588,食材表!$A:G,7,FALSE),0)+IFERROR($I589*VLOOKUP($H589,食材表!$A:G,7,FALSE),0)+IFERROR($K587*VLOOKUP($J587,食材表!$A:G,7,FALSE),0)+IFERROR($K588*VLOOKUP($J588,食材表!$A:G,7,FALSE),0)+IFERROR($K589*VLOOKUP($J589,食材表!$A:G,7,FALSE),0)</f>
        <v>0</v>
      </c>
      <c r="Q587" s="342">
        <f>IFERROR($I587*VLOOKUP($H587,食材表!$A:H,8,FALSE),0)+IFERROR($I588*VLOOKUP($H588,食材表!$A:H,8,FALSE),0)+IFERROR($I589*VLOOKUP($H589,食材表!$A:H,8,FALSE),0)+IFERROR($K587*VLOOKUP($J587,食材表!$A:H,8,FALSE),0)+IFERROR($K588*VLOOKUP($J588,食材表!$A:H,8,FALSE),0)+IFERROR($K589*VLOOKUP($J589,食材表!$A:H,8,FALSE),0)</f>
        <v>0</v>
      </c>
      <c r="R587" s="342">
        <f>IFERROR($I587*VLOOKUP($H587,食材表!$A:I,9,FALSE),0)+IFERROR($I588*VLOOKUP($H588,食材表!$A:I,9,FALSE),0)+IFERROR($I589*VLOOKUP($H589,食材表!$A:I,9,FALSE),0)+IFERROR($K587*VLOOKUP($J587,食材表!$A:I,9,FALSE),0)+IFERROR($K588*VLOOKUP($J588,食材表!$A:I,9,FALSE),0)+IFERROR($K589*VLOOKUP($J589,食材表!$A:I,9,FALSE),0)</f>
        <v>0</v>
      </c>
      <c r="S587" s="342">
        <f>SUM(L587*70+M587*75+N587*120+O587*25+P587*60+Q587*45+R587*4)</f>
        <v>67.285714285714292</v>
      </c>
    </row>
    <row r="588" spans="1:19">
      <c r="A588" s="33" t="str">
        <f>"2"&amp;+$B587</f>
        <v>2滷味拼盤</v>
      </c>
      <c r="B588" s="350"/>
      <c r="C588" s="22" t="s">
        <v>182</v>
      </c>
      <c r="D588" s="36">
        <v>0.6</v>
      </c>
      <c r="E588" s="22"/>
      <c r="F588" s="36"/>
      <c r="G588" s="353"/>
      <c r="H588" s="93" t="str">
        <f t="shared" ref="H588:H589" si="410">C588</f>
        <v>海帶結</v>
      </c>
      <c r="I588" s="86">
        <f>IFERROR(IF(LEN(D588)=LENB(D588),ROUND(LEFT(D588,2*LEN(D588)-LENB(D588))/$A$1,3),((ROUND(LEFT(D588,2*LEN(D588)-LENB(D588))/$A$1,3))*VLOOKUP(H588,食材表!$A:$B,2,FALSE))),"")</f>
        <v>1.2E-2</v>
      </c>
      <c r="J588" s="93">
        <f t="shared" ref="J588:J589" si="411">E588</f>
        <v>0</v>
      </c>
      <c r="K588" s="86" t="str">
        <f>IFERROR(IF(LEN(F588)=LENB(F588),ROUND(LEFT(F588,2*LEN(F588)-LENB(F588))/$A$1,3),((ROUND(LEFT(F588,2*LEN(F588)-LENB(F588))/$A$1,3))*VLOOKUP(J588,食材表!$A:$B,2,FALSE))),"")</f>
        <v/>
      </c>
      <c r="L588" s="343"/>
      <c r="M588" s="343"/>
      <c r="N588" s="343"/>
      <c r="O588" s="343"/>
      <c r="P588" s="343"/>
      <c r="Q588" s="343"/>
      <c r="R588" s="343"/>
      <c r="S588" s="343"/>
    </row>
    <row r="589" spans="1:19">
      <c r="A589" s="33" t="str">
        <f>"3"&amp;+$B587</f>
        <v>3滷味拼盤</v>
      </c>
      <c r="B589" s="351"/>
      <c r="C589" s="26" t="s">
        <v>218</v>
      </c>
      <c r="D589" s="37">
        <v>1.5</v>
      </c>
      <c r="E589" s="26"/>
      <c r="F589" s="37"/>
      <c r="G589" s="354"/>
      <c r="H589" s="92" t="str">
        <f t="shared" si="410"/>
        <v>大黑豆干</v>
      </c>
      <c r="I589" s="85">
        <f>IFERROR(IF(LEN(D589)=LENB(D589),ROUND(LEFT(D589,2*LEN(D589)-LENB(D589))/$A$1,3),((ROUND(LEFT(D589,2*LEN(D589)-LENB(D589))/$A$1,3))*VLOOKUP(H589,食材表!$A:$B,2,FALSE))),"")</f>
        <v>0.03</v>
      </c>
      <c r="J589" s="92">
        <f t="shared" si="411"/>
        <v>0</v>
      </c>
      <c r="K589" s="85" t="str">
        <f>IFERROR(IF(LEN(F589)=LENB(F589),ROUND(LEFT(F589,2*LEN(F589)-LENB(F589))/$A$1,3),((ROUND(LEFT(F589,2*LEN(F589)-LENB(F589))/$A$1,3))*VLOOKUP(J589,食材表!$A:$B,2,FALSE))),"")</f>
        <v/>
      </c>
      <c r="L589" s="344"/>
      <c r="M589" s="344"/>
      <c r="N589" s="344"/>
      <c r="O589" s="344"/>
      <c r="P589" s="344"/>
      <c r="Q589" s="344"/>
      <c r="R589" s="344"/>
      <c r="S589" s="344"/>
    </row>
    <row r="590" spans="1:19">
      <c r="A590" s="33" t="str">
        <f>"1"&amp;+$B590</f>
        <v>1綜合滷味</v>
      </c>
      <c r="B590" s="349" t="s">
        <v>216</v>
      </c>
      <c r="C590" s="60" t="s">
        <v>51</v>
      </c>
      <c r="D590" s="59">
        <v>1.5</v>
      </c>
      <c r="E590" s="60"/>
      <c r="F590" s="36"/>
      <c r="G590" s="352" t="str">
        <f>B590</f>
        <v>綜合滷味</v>
      </c>
      <c r="H590" s="91" t="str">
        <f>C590</f>
        <v>白蘿蔔</v>
      </c>
      <c r="I590" s="83">
        <f>IFERROR(IF(LEN(D590)=LENB(D590),ROUND(LEFT(D590,2*LEN(D590)-LENB(D590))/$A$1,3),((ROUND(LEFT(D590,2*LEN(D590)-LENB(D590))/$A$1,3))*VLOOKUP(H590,食材表!$A:$B,2,FALSE))),"")</f>
        <v>0.03</v>
      </c>
      <c r="J590" s="91">
        <f>E590</f>
        <v>0</v>
      </c>
      <c r="K590" s="83" t="str">
        <f>IFERROR(IF(LEN(F590)=LENB(F590),ROUND(LEFT(F590,2*LEN(F590)-LENB(F590))/$A$1,3),((ROUND(LEFT(F590,2*LEN(F590)-LENB(F590))/$A$1,3))*VLOOKUP(J590,食材表!$A:$B,2,FALSE))),"")</f>
        <v/>
      </c>
      <c r="L590" s="342">
        <f>IFERROR($I590*VLOOKUP($H590,食材表!$A:C,3,FALSE),0)+IFERROR($I591*VLOOKUP($H591,食材表!$A:C,3,FALSE),0)+IFERROR($I592*VLOOKUP($H592,食材表!$A:C,3,FALSE),0)+IFERROR($K590*VLOOKUP($J590,食材表!$A:C,3,FALSE),0)+IFERROR($K591*VLOOKUP($J591,食材表!$A:C,3,FALSE),0)+IFERROR($K592*VLOOKUP($J592,食材表!$A:C,3,FALSE),0)</f>
        <v>0</v>
      </c>
      <c r="M590" s="342">
        <f>IFERROR($I590*VLOOKUP($H590,食材表!$A:D,4,FALSE),0)+IFERROR($I591*VLOOKUP($H591,食材表!$A:D,4,FALSE),0)+IFERROR($I592*VLOOKUP($H592,食材表!$A:D,4,FALSE),0)+IFERROR($K590*VLOOKUP($J590,食材表!$A:D,4,FALSE),0)+IFERROR($K591*VLOOKUP($J591,食材表!$A:D,4,FALSE),0)+IFERROR($K592*VLOOKUP($J592,食材表!$A:D,4,FALSE),0)</f>
        <v>1.0285714285714287</v>
      </c>
      <c r="N590" s="342">
        <f>IFERROR($I590*VLOOKUP($H590,食材表!$A:E,5,FALSE),0)+IFERROR($I591*VLOOKUP($H591,食材表!$A:E,5,FALSE),0)+IFERROR($I592*VLOOKUP($H592,食材表!$A:E,5,FALSE),0)+IFERROR($K590*VLOOKUP($J590,食材表!$A:E,5,FALSE),0)+IFERROR($K591*VLOOKUP($J591,食材表!$A:E,5,FALSE),0)+IFERROR($K592*VLOOKUP($J592,食材表!$A:E,5,FALSE),0)</f>
        <v>0</v>
      </c>
      <c r="O590" s="342">
        <f>IFERROR($I590*VLOOKUP($H590,食材表!$A:F,6,FALSE),0)+IFERROR($I591*VLOOKUP($H591,食材表!$A:F,6,FALSE),0)+IFERROR($I592*VLOOKUP($H592,食材表!$A:F,6,FALSE),0)+IFERROR($K590*VLOOKUP($J590,食材表!$A:F,6,FALSE),0)+IFERROR($K591*VLOOKUP($J591,食材表!$A:F,6,FALSE),0)+IFERROR($K592*VLOOKUP($J592,食材表!$A:F,6,FALSE),0)</f>
        <v>0</v>
      </c>
      <c r="P590" s="342">
        <f>IFERROR($I590*VLOOKUP($H590,食材表!$A:G,7,FALSE),0)+IFERROR($I591*VLOOKUP($H591,食材表!$A:G,7,FALSE),0)+IFERROR($I592*VLOOKUP($H592,食材表!$A:G,7,FALSE),0)+IFERROR($K590*VLOOKUP($J590,食材表!$A:G,7,FALSE),0)+IFERROR($K591*VLOOKUP($J591,食材表!$A:G,7,FALSE),0)+IFERROR($K592*VLOOKUP($J592,食材表!$A:G,7,FALSE),0)</f>
        <v>0</v>
      </c>
      <c r="Q590" s="342">
        <f>IFERROR($I590*VLOOKUP($H590,食材表!$A:H,8,FALSE),0)+IFERROR($I591*VLOOKUP($H591,食材表!$A:H,8,FALSE),0)+IFERROR($I592*VLOOKUP($H592,食材表!$A:H,8,FALSE),0)+IFERROR($K590*VLOOKUP($J590,食材表!$A:H,8,FALSE),0)+IFERROR($K591*VLOOKUP($J591,食材表!$A:H,8,FALSE),0)+IFERROR($K592*VLOOKUP($J592,食材表!$A:H,8,FALSE),0)</f>
        <v>0</v>
      </c>
      <c r="R590" s="342">
        <f>IFERROR($I590*VLOOKUP($H590,食材表!$A:I,9,FALSE),0)+IFERROR($I591*VLOOKUP($H591,食材表!$A:I,9,FALSE),0)+IFERROR($I592*VLOOKUP($H592,食材表!$A:I,9,FALSE),0)+IFERROR($K590*VLOOKUP($J590,食材表!$A:I,9,FALSE),0)+IFERROR($K591*VLOOKUP($J591,食材表!$A:I,9,FALSE),0)+IFERROR($K592*VLOOKUP($J592,食材表!$A:I,9,FALSE),0)</f>
        <v>0</v>
      </c>
      <c r="S590" s="342">
        <f>SUM(L590*70+M590*75+N590*120+O590*25+P590*60+Q590*45+R590*4)</f>
        <v>77.142857142857153</v>
      </c>
    </row>
    <row r="591" spans="1:19">
      <c r="A591" s="33" t="str">
        <f>"2"&amp;+$B590</f>
        <v>2綜合滷味</v>
      </c>
      <c r="B591" s="350"/>
      <c r="C591" s="22" t="s">
        <v>369</v>
      </c>
      <c r="D591" s="36">
        <v>0.6</v>
      </c>
      <c r="E591" s="22"/>
      <c r="F591" s="36"/>
      <c r="G591" s="353"/>
      <c r="H591" s="93" t="str">
        <f t="shared" ref="H591:H592" si="412">C591</f>
        <v>竹輪</v>
      </c>
      <c r="I591" s="86">
        <f>IFERROR(IF(LEN(D591)=LENB(D591),ROUND(LEFT(D591,2*LEN(D591)-LENB(D591))/$A$1,3),((ROUND(LEFT(D591,2*LEN(D591)-LENB(D591))/$A$1,3))*VLOOKUP(H591,食材表!$A:$B,2,FALSE))),"")</f>
        <v>1.2E-2</v>
      </c>
      <c r="J591" s="93">
        <f t="shared" ref="J591:J592" si="413">E591</f>
        <v>0</v>
      </c>
      <c r="K591" s="86" t="str">
        <f>IFERROR(IF(LEN(F591)=LENB(F591),ROUND(LEFT(F591,2*LEN(F591)-LENB(F591))/$A$1,3),((ROUND(LEFT(F591,2*LEN(F591)-LENB(F591))/$A$1,3))*VLOOKUP(J591,食材表!$A:$B,2,FALSE))),"")</f>
        <v/>
      </c>
      <c r="L591" s="343"/>
      <c r="M591" s="343"/>
      <c r="N591" s="343"/>
      <c r="O591" s="343"/>
      <c r="P591" s="343"/>
      <c r="Q591" s="343"/>
      <c r="R591" s="343"/>
      <c r="S591" s="343"/>
    </row>
    <row r="592" spans="1:19">
      <c r="A592" s="33" t="str">
        <f>"3"&amp;+$B590</f>
        <v>3綜合滷味</v>
      </c>
      <c r="B592" s="351"/>
      <c r="C592" s="26" t="s">
        <v>218</v>
      </c>
      <c r="D592" s="37">
        <v>1.5</v>
      </c>
      <c r="E592" s="26"/>
      <c r="F592" s="37"/>
      <c r="G592" s="354"/>
      <c r="H592" s="92" t="str">
        <f t="shared" si="412"/>
        <v>大黑豆干</v>
      </c>
      <c r="I592" s="85">
        <f>IFERROR(IF(LEN(D592)=LENB(D592),ROUND(LEFT(D592,2*LEN(D592)-LENB(D592))/$A$1,3),((ROUND(LEFT(D592,2*LEN(D592)-LENB(D592))/$A$1,3))*VLOOKUP(H592,食材表!$A:$B,2,FALSE))),"")</f>
        <v>0.03</v>
      </c>
      <c r="J592" s="92">
        <f t="shared" si="413"/>
        <v>0</v>
      </c>
      <c r="K592" s="85" t="str">
        <f>IFERROR(IF(LEN(F592)=LENB(F592),ROUND(LEFT(F592,2*LEN(F592)-LENB(F592))/$A$1,3),((ROUND(LEFT(F592,2*LEN(F592)-LENB(F592))/$A$1,3))*VLOOKUP(J592,食材表!$A:$B,2,FALSE))),"")</f>
        <v/>
      </c>
      <c r="L592" s="344"/>
      <c r="M592" s="344"/>
      <c r="N592" s="344"/>
      <c r="O592" s="344"/>
      <c r="P592" s="344"/>
      <c r="Q592" s="344"/>
      <c r="R592" s="344"/>
      <c r="S592" s="344"/>
    </row>
    <row r="593" spans="1:19">
      <c r="A593" s="33" t="str">
        <f>"1"&amp;+$B593</f>
        <v>1玉米脆片</v>
      </c>
      <c r="B593" s="349" t="s">
        <v>992</v>
      </c>
      <c r="C593" s="90" t="s">
        <v>1145</v>
      </c>
      <c r="D593" s="59" t="s">
        <v>1149</v>
      </c>
      <c r="E593" s="60"/>
      <c r="F593" s="59"/>
      <c r="G593" s="352" t="str">
        <f>B593</f>
        <v>玉米脆片</v>
      </c>
      <c r="H593" s="91" t="str">
        <f>C593</f>
        <v>玉米脆片(大)</v>
      </c>
      <c r="I593" s="83">
        <f>IFERROR(IF(LEN(D593)=LENB(D593),ROUND(LEFT(D593,2*LEN(D593)-LENB(D593))/$A$1,3),((ROUND(LEFT(D593,2*LEN(D593)-LENB(D593))/$A$1,3))*VLOOKUP(H593,食材表!$A:$B,2,FALSE))),"")</f>
        <v>2.0999999999999998E-2</v>
      </c>
      <c r="J593" s="91">
        <f>E593</f>
        <v>0</v>
      </c>
      <c r="K593" s="83" t="str">
        <f>IFERROR(IF(LEN(F593)=LENB(F593),ROUND(LEFT(F593,2*LEN(F593)-LENB(F593))/$A$1,3),((ROUND(LEFT(F593,2*LEN(F593)-LENB(F593))/$A$1,3))*VLOOKUP(J593,食材表!$A:$B,2,FALSE))),"")</f>
        <v/>
      </c>
      <c r="L593" s="342">
        <f>IFERROR($I593*VLOOKUP($H593,食材表!$A:C,3,FALSE),0)+IFERROR($I594*VLOOKUP($H594,食材表!$A:C,3,FALSE),0)+IFERROR($I595*VLOOKUP($H595,食材表!$A:C,3,FALSE),0)+IFERROR($K593*VLOOKUP($J593,食材表!$A:C,3,FALSE),0)+IFERROR($K594*VLOOKUP($J594,食材表!$A:C,3,FALSE),0)+IFERROR($K595*VLOOKUP($J595,食材表!$A:C,3,FALSE),0)</f>
        <v>1.4039999999999999</v>
      </c>
      <c r="M593" s="342">
        <f>IFERROR($I593*VLOOKUP($H593,食材表!$A:D,4,FALSE),0)+IFERROR($I594*VLOOKUP($H594,食材表!$A:D,4,FALSE),0)+IFERROR($I595*VLOOKUP($H595,食材表!$A:D,4,FALSE),0)+IFERROR($K593*VLOOKUP($J593,食材表!$A:D,4,FALSE),0)+IFERROR($K594*VLOOKUP($J594,食材表!$A:D,4,FALSE),0)+IFERROR($K595*VLOOKUP($J595,食材表!$A:D,4,FALSE),0)</f>
        <v>0</v>
      </c>
      <c r="N593" s="342">
        <f>IFERROR($I593*VLOOKUP($H593,食材表!$A:E,5,FALSE),0)+IFERROR($I594*VLOOKUP($H594,食材表!$A:E,5,FALSE),0)+IFERROR($I595*VLOOKUP($H595,食材表!$A:E,5,FALSE),0)+IFERROR($K593*VLOOKUP($J593,食材表!$A:E,5,FALSE),0)+IFERROR($K594*VLOOKUP($J594,食材表!$A:E,5,FALSE),0)+IFERROR($K595*VLOOKUP($J595,食材表!$A:E,5,FALSE),0)</f>
        <v>0</v>
      </c>
      <c r="O593" s="342">
        <f>IFERROR($I593*VLOOKUP($H593,食材表!$A:F,6,FALSE),0)+IFERROR($I594*VLOOKUP($H594,食材表!$A:F,6,FALSE),0)+IFERROR($I595*VLOOKUP($H595,食材表!$A:F,6,FALSE),0)+IFERROR($K593*VLOOKUP($J593,食材表!$A:F,6,FALSE),0)+IFERROR($K594*VLOOKUP($J594,食材表!$A:F,6,FALSE),0)+IFERROR($K595*VLOOKUP($J595,食材表!$A:F,6,FALSE),0)</f>
        <v>0</v>
      </c>
      <c r="P593" s="342">
        <f>IFERROR($I593*VLOOKUP($H593,食材表!$A:G,7,FALSE),0)+IFERROR($I594*VLOOKUP($H594,食材表!$A:G,7,FALSE),0)+IFERROR($I595*VLOOKUP($H595,食材表!$A:G,7,FALSE),0)+IFERROR($K593*VLOOKUP($J593,食材表!$A:G,7,FALSE),0)+IFERROR($K594*VLOOKUP($J594,食材表!$A:G,7,FALSE),0)+IFERROR($K595*VLOOKUP($J595,食材表!$A:G,7,FALSE),0)</f>
        <v>0</v>
      </c>
      <c r="Q593" s="342">
        <f>IFERROR($I593*VLOOKUP($H593,食材表!$A:H,8,FALSE),0)+IFERROR($I594*VLOOKUP($H594,食材表!$A:H,8,FALSE),0)+IFERROR($I595*VLOOKUP($H595,食材表!$A:H,8,FALSE),0)+IFERROR($K593*VLOOKUP($J593,食材表!$A:H,8,FALSE),0)+IFERROR($K594*VLOOKUP($J594,食材表!$A:H,8,FALSE),0)+IFERROR($K595*VLOOKUP($J595,食材表!$A:H,8,FALSE),0)</f>
        <v>0</v>
      </c>
      <c r="R593" s="342">
        <f>IFERROR($I593*VLOOKUP($H593,食材表!$A:I,9,FALSE),0)+IFERROR($I594*VLOOKUP($H594,食材表!$A:I,9,FALSE),0)+IFERROR($I595*VLOOKUP($H595,食材表!$A:I,9,FALSE),0)+IFERROR($K593*VLOOKUP($J593,食材表!$A:I,9,FALSE),0)+IFERROR($K594*VLOOKUP($J594,食材表!$A:I,9,FALSE),0)+IFERROR($K595*VLOOKUP($J595,食材表!$A:I,9,FALSE),0)</f>
        <v>5.9999999999999991</v>
      </c>
      <c r="S593" s="342">
        <f>SUM(L593*70+M593*75+N593*120+O593*25+P593*60+Q593*45+R593*4)</f>
        <v>122.28</v>
      </c>
    </row>
    <row r="594" spans="1:19">
      <c r="A594" s="33" t="str">
        <f>"2"&amp;+$B593</f>
        <v>2玉米脆片</v>
      </c>
      <c r="B594" s="350"/>
      <c r="C594" s="22"/>
      <c r="D594" s="36"/>
      <c r="E594" s="22"/>
      <c r="F594" s="36"/>
      <c r="G594" s="353"/>
      <c r="H594" s="93">
        <f t="shared" ref="H594:H595" si="414">C594</f>
        <v>0</v>
      </c>
      <c r="I594" s="86" t="str">
        <f>IFERROR(IF(LEN(D594)=LENB(D594),ROUND(LEFT(D594,2*LEN(D594)-LENB(D594))/$A$1,3),((ROUND(LEFT(D594,2*LEN(D594)-LENB(D594))/$A$1,3))*VLOOKUP(H594,食材表!$A:$B,2,FALSE))),"")</f>
        <v/>
      </c>
      <c r="J594" s="93">
        <f t="shared" ref="J594:J595" si="415">E594</f>
        <v>0</v>
      </c>
      <c r="K594" s="86" t="str">
        <f>IFERROR(IF(LEN(F594)=LENB(F594),ROUND(LEFT(F594,2*LEN(F594)-LENB(F594))/$A$1,3),((ROUND(LEFT(F594,2*LEN(F594)-LENB(F594))/$A$1,3))*VLOOKUP(J594,食材表!$A:$B,2,FALSE))),"")</f>
        <v/>
      </c>
      <c r="L594" s="343"/>
      <c r="M594" s="343"/>
      <c r="N594" s="343"/>
      <c r="O594" s="343"/>
      <c r="P594" s="343"/>
      <c r="Q594" s="343"/>
      <c r="R594" s="343"/>
      <c r="S594" s="343"/>
    </row>
    <row r="595" spans="1:19">
      <c r="A595" s="33" t="str">
        <f>"3"&amp;+$B593</f>
        <v>3玉米脆片</v>
      </c>
      <c r="B595" s="351"/>
      <c r="C595" s="26"/>
      <c r="D595" s="37"/>
      <c r="E595" s="26"/>
      <c r="F595" s="37"/>
      <c r="G595" s="354"/>
      <c r="H595" s="92">
        <f t="shared" si="414"/>
        <v>0</v>
      </c>
      <c r="I595" s="85" t="str">
        <f>IFERROR(IF(LEN(D595)=LENB(D595),ROUND(LEFT(D595,2*LEN(D595)-LENB(D595))/$A$1,3),((ROUND(LEFT(D595,2*LEN(D595)-LENB(D595))/$A$1,3))*VLOOKUP(H595,食材表!$A:$B,2,FALSE))),"")</f>
        <v/>
      </c>
      <c r="J595" s="92">
        <f t="shared" si="415"/>
        <v>0</v>
      </c>
      <c r="K595" s="85" t="str">
        <f>IFERROR(IF(LEN(F595)=LENB(F595),ROUND(LEFT(F595,2*LEN(F595)-LENB(F595))/$A$1,3),((ROUND(LEFT(F595,2*LEN(F595)-LENB(F595))/$A$1,3))*VLOOKUP(J595,食材表!$A:$B,2,FALSE))),"")</f>
        <v/>
      </c>
      <c r="L595" s="344"/>
      <c r="M595" s="344"/>
      <c r="N595" s="344"/>
      <c r="O595" s="344"/>
      <c r="P595" s="344"/>
      <c r="Q595" s="344"/>
      <c r="R595" s="344"/>
      <c r="S595" s="344"/>
    </row>
    <row r="596" spans="1:19">
      <c r="A596" s="33" t="str">
        <f>"1"&amp;+$B596</f>
        <v>1玉米脆片+鮮奶</v>
      </c>
      <c r="B596" s="349" t="s">
        <v>1119</v>
      </c>
      <c r="C596" s="90" t="s">
        <v>1145</v>
      </c>
      <c r="D596" s="59" t="s">
        <v>1149</v>
      </c>
      <c r="E596" s="60"/>
      <c r="F596" s="59"/>
      <c r="G596" s="352" t="str">
        <f>B596</f>
        <v>玉米脆片+鮮奶</v>
      </c>
      <c r="H596" s="91" t="str">
        <f>C596</f>
        <v>玉米脆片(大)</v>
      </c>
      <c r="I596" s="83">
        <f>IFERROR(IF(LEN(D596)=LENB(D596),ROUND(LEFT(D596,2*LEN(D596)-LENB(D596))/$A$1,3),((ROUND(LEFT(D596,2*LEN(D596)-LENB(D596))/$A$1,3))*VLOOKUP(H596,食材表!$A:$B,2,FALSE))),"")</f>
        <v>2.0999999999999998E-2</v>
      </c>
      <c r="J596" s="91">
        <f>E596</f>
        <v>0</v>
      </c>
      <c r="K596" s="83" t="str">
        <f>IFERROR(IF(LEN(F596)=LENB(F596),ROUND(LEFT(F596,2*LEN(F596)-LENB(F596))/$A$1,3),((ROUND(LEFT(F596,2*LEN(F596)-LENB(F596))/$A$1,3))*VLOOKUP(J596,食材表!$A:$B,2,FALSE))),"")</f>
        <v/>
      </c>
      <c r="L596" s="342">
        <f>IFERROR($I596*VLOOKUP($H596,食材表!$A:C,3,FALSE),0)+IFERROR($I597*VLOOKUP($H597,食材表!$A:C,3,FALSE),0)+IFERROR($I598*VLOOKUP($H598,食材表!$A:C,3,FALSE),0)+IFERROR($K596*VLOOKUP($J596,食材表!$A:C,3,FALSE),0)+IFERROR($K597*VLOOKUP($J597,食材表!$A:C,3,FALSE),0)+IFERROR($K598*VLOOKUP($J598,食材表!$A:C,3,FALSE),0)</f>
        <v>1.4039999999999999</v>
      </c>
      <c r="M596" s="342">
        <f>IFERROR($I596*VLOOKUP($H596,食材表!$A:D,4,FALSE),0)+IFERROR($I597*VLOOKUP($H597,食材表!$A:D,4,FALSE),0)+IFERROR($I598*VLOOKUP($H598,食材表!$A:D,4,FALSE),0)+IFERROR($K596*VLOOKUP($J596,食材表!$A:D,4,FALSE),0)+IFERROR($K597*VLOOKUP($J597,食材表!$A:D,4,FALSE),0)+IFERROR($K598*VLOOKUP($J598,食材表!$A:D,4,FALSE),0)</f>
        <v>0</v>
      </c>
      <c r="N596" s="342">
        <f>IFERROR($I596*VLOOKUP($H596,食材表!$A:E,5,FALSE),0)+IFERROR($I597*VLOOKUP($H597,食材表!$A:E,5,FALSE),0)+IFERROR($I598*VLOOKUP($H598,食材表!$A:E,5,FALSE),0)+IFERROR($K596*VLOOKUP($J596,食材表!$A:E,5,FALSE),0)+IFERROR($K597*VLOOKUP($J597,食材表!$A:E,5,FALSE),0)+IFERROR($K598*VLOOKUP($J598,食材表!$A:E,5,FALSE),0)</f>
        <v>0.58800000000000008</v>
      </c>
      <c r="O596" s="342">
        <f>IFERROR($I596*VLOOKUP($H596,食材表!$A:F,6,FALSE),0)+IFERROR($I597*VLOOKUP($H597,食材表!$A:F,6,FALSE),0)+IFERROR($I598*VLOOKUP($H598,食材表!$A:F,6,FALSE),0)+IFERROR($K596*VLOOKUP($J596,食材表!$A:F,6,FALSE),0)+IFERROR($K597*VLOOKUP($J597,食材表!$A:F,6,FALSE),0)+IFERROR($K598*VLOOKUP($J598,食材表!$A:F,6,FALSE),0)</f>
        <v>0</v>
      </c>
      <c r="P596" s="342">
        <f>IFERROR($I596*VLOOKUP($H596,食材表!$A:G,7,FALSE),0)+IFERROR($I597*VLOOKUP($H597,食材表!$A:G,7,FALSE),0)+IFERROR($I598*VLOOKUP($H598,食材表!$A:G,7,FALSE),0)+IFERROR($K596*VLOOKUP($J596,食材表!$A:G,7,FALSE),0)+IFERROR($K597*VLOOKUP($J597,食材表!$A:G,7,FALSE),0)+IFERROR($K598*VLOOKUP($J598,食材表!$A:G,7,FALSE),0)</f>
        <v>0</v>
      </c>
      <c r="Q596" s="342">
        <f>IFERROR($I596*VLOOKUP($H596,食材表!$A:H,8,FALSE),0)+IFERROR($I597*VLOOKUP($H597,食材表!$A:H,8,FALSE),0)+IFERROR($I598*VLOOKUP($H598,食材表!$A:H,8,FALSE),0)+IFERROR($K596*VLOOKUP($J596,食材表!$A:H,8,FALSE),0)+IFERROR($K597*VLOOKUP($J597,食材表!$A:H,8,FALSE),0)+IFERROR($K598*VLOOKUP($J598,食材表!$A:H,8,FALSE),0)</f>
        <v>0</v>
      </c>
      <c r="R596" s="342">
        <f>IFERROR($I596*VLOOKUP($H596,食材表!$A:I,9,FALSE),0)+IFERROR($I597*VLOOKUP($H597,食材表!$A:I,9,FALSE),0)+IFERROR($I598*VLOOKUP($H598,食材表!$A:I,9,FALSE),0)+IFERROR($K596*VLOOKUP($J596,食材表!$A:I,9,FALSE),0)+IFERROR($K597*VLOOKUP($J597,食材表!$A:I,9,FALSE),0)+IFERROR($K598*VLOOKUP($J598,食材表!$A:I,9,FALSE),0)</f>
        <v>5.9999999999999991</v>
      </c>
      <c r="S596" s="342">
        <f>SUM(L596*70+M596*75+N596*120+O596*25+P596*60+Q596*45+R596*4)</f>
        <v>192.84</v>
      </c>
    </row>
    <row r="597" spans="1:19">
      <c r="A597" s="33" t="str">
        <f>"2"&amp;+$B596</f>
        <v>2玉米脆片+鮮奶</v>
      </c>
      <c r="B597" s="350"/>
      <c r="C597" s="22" t="s">
        <v>140</v>
      </c>
      <c r="D597" s="36" t="s">
        <v>957</v>
      </c>
      <c r="E597" s="22"/>
      <c r="F597" s="36"/>
      <c r="G597" s="353"/>
      <c r="H597" s="93" t="str">
        <f t="shared" ref="H597:H598" si="416">C597</f>
        <v>鮮奶</v>
      </c>
      <c r="I597" s="84">
        <f>(2*IFERROR(MID(D597,FIND("2L*",D597)+3,1),0)+1*IFERROR(MID(D597,FIND("1L*",D597)+3,2),0))/$A$1</f>
        <v>0.14000000000000001</v>
      </c>
      <c r="J597" s="93">
        <f t="shared" ref="J597:J598" si="417">E597</f>
        <v>0</v>
      </c>
      <c r="K597" s="86" t="str">
        <f>IFERROR(IF(LEN(F597)=LENB(F597),ROUND(LEFT(F597,2*LEN(F597)-LENB(F597))/$A$1,3),((ROUND(LEFT(F597,2*LEN(F597)-LENB(F597))/$A$1,3))*VLOOKUP(J597,食材表!$A:$B,2,FALSE))),"")</f>
        <v/>
      </c>
      <c r="L597" s="343"/>
      <c r="M597" s="343"/>
      <c r="N597" s="343"/>
      <c r="O597" s="343"/>
      <c r="P597" s="343"/>
      <c r="Q597" s="343"/>
      <c r="R597" s="343"/>
      <c r="S597" s="343"/>
    </row>
    <row r="598" spans="1:19">
      <c r="A598" s="33" t="str">
        <f>"3"&amp;+$B596</f>
        <v>3玉米脆片+鮮奶</v>
      </c>
      <c r="B598" s="351"/>
      <c r="C598" s="26"/>
      <c r="D598" s="37"/>
      <c r="E598" s="26"/>
      <c r="F598" s="37"/>
      <c r="G598" s="354"/>
      <c r="H598" s="92">
        <f t="shared" si="416"/>
        <v>0</v>
      </c>
      <c r="I598" s="84" t="str">
        <f>IFERROR(IF(LEN(D598)=LENB(D598),ROUND(LEFT(D598,2*LEN(D598)-LENB(D598))/$A$1,3),((ROUND(LEFT(D598,2*LEN(D598)-LENB(D598))/$A$1,3))*VLOOKUP(H598,食材表!$A:$B,2,FALSE))),"")</f>
        <v/>
      </c>
      <c r="J598" s="92">
        <f t="shared" si="417"/>
        <v>0</v>
      </c>
      <c r="K598" s="85" t="str">
        <f>IFERROR(IF(LEN(F598)=LENB(F598),ROUND(LEFT(F598,2*LEN(F598)-LENB(F598))/$A$1,3),((ROUND(LEFT(F598,2*LEN(F598)-LENB(F598))/$A$1,3))*VLOOKUP(J598,食材表!$A:$B,2,FALSE))),"")</f>
        <v/>
      </c>
      <c r="L598" s="344"/>
      <c r="M598" s="344"/>
      <c r="N598" s="344"/>
      <c r="O598" s="344"/>
      <c r="P598" s="344"/>
      <c r="Q598" s="344"/>
      <c r="R598" s="344"/>
      <c r="S598" s="344"/>
    </row>
    <row r="599" spans="1:19">
      <c r="A599" s="33" t="str">
        <f t="shared" ref="A599" si="418">"1"&amp;+$B599</f>
        <v>1生日蛋糕(自購)</v>
      </c>
      <c r="B599" s="349" t="s">
        <v>1121</v>
      </c>
      <c r="C599" s="90"/>
      <c r="D599" s="59"/>
      <c r="E599" s="60"/>
      <c r="F599" s="59"/>
      <c r="G599" s="352" t="str">
        <f t="shared" ref="G599" si="419">B599</f>
        <v>生日蛋糕(自購)</v>
      </c>
      <c r="H599" s="91">
        <f t="shared" ref="H599:H622" si="420">C599</f>
        <v>0</v>
      </c>
      <c r="I599" s="83" t="str">
        <f>IFERROR(IF(LEN(D599)=LENB(D599),ROUND(LEFT(D599,2*LEN(D599)-LENB(D599))/$A$1,3),((ROUND(LEFT(D599,2*LEN(D599)-LENB(D599))/$A$1,3))*VLOOKUP(H599,食材表!$A:$B,2,FALSE))),"")</f>
        <v/>
      </c>
      <c r="J599" s="91">
        <f t="shared" ref="J599:J622" si="421">E599</f>
        <v>0</v>
      </c>
      <c r="K599" s="83" t="str">
        <f>IFERROR(IF(LEN(F599)=LENB(F599),ROUND(LEFT(F599,2*LEN(F599)-LENB(F599))/$A$1,3),((ROUND(LEFT(F599,2*LEN(F599)-LENB(F599))/$A$1,3))*VLOOKUP(J599,食材表!$A:$B,2,FALSE))),"")</f>
        <v/>
      </c>
      <c r="L599" s="342">
        <v>2</v>
      </c>
      <c r="M599" s="342">
        <f>IFERROR($I599*VLOOKUP($H599,食材表!$A:D,4,FALSE),0)+IFERROR($I600*VLOOKUP($H600,食材表!$A:D,4,FALSE),0)+IFERROR($I601*VLOOKUP($H601,食材表!$A:D,4,FALSE),0)+IFERROR($K599*VLOOKUP($J599,食材表!$A:D,4,FALSE),0)+IFERROR($K600*VLOOKUP($J600,食材表!$A:D,4,FALSE),0)+IFERROR($K601*VLOOKUP($J601,食材表!$A:D,4,FALSE),0)</f>
        <v>0</v>
      </c>
      <c r="N599" s="342">
        <f>IFERROR($I599*VLOOKUP($H599,食材表!$A:E,5,FALSE),0)+IFERROR($I600*VLOOKUP($H600,食材表!$A:E,5,FALSE),0)+IFERROR($I601*VLOOKUP($H601,食材表!$A:E,5,FALSE),0)+IFERROR($K599*VLOOKUP($J599,食材表!$A:E,5,FALSE),0)+IFERROR($K600*VLOOKUP($J600,食材表!$A:E,5,FALSE),0)+IFERROR($K601*VLOOKUP($J601,食材表!$A:E,5,FALSE),0)</f>
        <v>0</v>
      </c>
      <c r="O599" s="342">
        <f>IFERROR($I599*VLOOKUP($H599,食材表!$A:F,6,FALSE),0)+IFERROR($I600*VLOOKUP($H600,食材表!$A:F,6,FALSE),0)+IFERROR($I601*VLOOKUP($H601,食材表!$A:F,6,FALSE),0)+IFERROR($K599*VLOOKUP($J599,食材表!$A:F,6,FALSE),0)+IFERROR($K600*VLOOKUP($J600,食材表!$A:F,6,FALSE),0)+IFERROR($K601*VLOOKUP($J601,食材表!$A:F,6,FALSE),0)</f>
        <v>0</v>
      </c>
      <c r="P599" s="342">
        <f>IFERROR($I599*VLOOKUP($H599,食材表!$A:G,7,FALSE),0)+IFERROR($I600*VLOOKUP($H600,食材表!$A:G,7,FALSE),0)+IFERROR($I601*VLOOKUP($H601,食材表!$A:G,7,FALSE),0)+IFERROR($K599*VLOOKUP($J599,食材表!$A:G,7,FALSE),0)+IFERROR($K600*VLOOKUP($J600,食材表!$A:G,7,FALSE),0)+IFERROR($K601*VLOOKUP($J601,食材表!$A:G,7,FALSE),0)</f>
        <v>0</v>
      </c>
      <c r="Q599" s="342">
        <v>2</v>
      </c>
      <c r="R599" s="342">
        <v>15</v>
      </c>
      <c r="S599" s="342">
        <f t="shared" ref="S599" si="422">SUM(L599*70+M599*75+N599*120+O599*25+P599*60+Q599*45+R599*4)</f>
        <v>290</v>
      </c>
    </row>
    <row r="600" spans="1:19">
      <c r="A600" s="33" t="str">
        <f t="shared" ref="A600" si="423">"2"&amp;+$B599</f>
        <v>2生日蛋糕(自購)</v>
      </c>
      <c r="B600" s="350"/>
      <c r="C600" s="22"/>
      <c r="D600" s="36"/>
      <c r="E600" s="22"/>
      <c r="F600" s="36"/>
      <c r="G600" s="353"/>
      <c r="H600" s="93">
        <f t="shared" si="420"/>
        <v>0</v>
      </c>
      <c r="I600" s="86" t="str">
        <f>IFERROR(IF(LEN(D600)=LENB(D600),ROUND(LEFT(D600,2*LEN(D600)-LENB(D600))/$A$1,3),((ROUND(LEFT(D600,2*LEN(D600)-LENB(D600))/$A$1,3))*VLOOKUP(H600,食材表!$A:$B,2,FALSE))),"")</f>
        <v/>
      </c>
      <c r="J600" s="93">
        <f t="shared" si="421"/>
        <v>0</v>
      </c>
      <c r="K600" s="86" t="str">
        <f>IFERROR(IF(LEN(F600)=LENB(F600),ROUND(LEFT(F600,2*LEN(F600)-LENB(F600))/$A$1,3),((ROUND(LEFT(F600,2*LEN(F600)-LENB(F600))/$A$1,3))*VLOOKUP(J600,食材表!$A:$B,2,FALSE))),"")</f>
        <v/>
      </c>
      <c r="L600" s="343"/>
      <c r="M600" s="343"/>
      <c r="N600" s="343"/>
      <c r="O600" s="343"/>
      <c r="P600" s="343"/>
      <c r="Q600" s="343"/>
      <c r="R600" s="343"/>
      <c r="S600" s="343"/>
    </row>
    <row r="601" spans="1:19">
      <c r="A601" s="33" t="str">
        <f t="shared" ref="A601" si="424">"3"&amp;+$B599</f>
        <v>3生日蛋糕(自購)</v>
      </c>
      <c r="B601" s="351"/>
      <c r="C601" s="26"/>
      <c r="D601" s="37"/>
      <c r="E601" s="26"/>
      <c r="F601" s="37"/>
      <c r="G601" s="354"/>
      <c r="H601" s="92">
        <f t="shared" si="420"/>
        <v>0</v>
      </c>
      <c r="I601" s="84" t="str">
        <f>IFERROR(IF(LEN(D601)=LENB(D601),ROUND(LEFT(D601,2*LEN(D601)-LENB(D601))/$A$1,3),((ROUND(LEFT(D601,2*LEN(D601)-LENB(D601))/$A$1,3))*VLOOKUP(H601,食材表!$A:$B,2,FALSE))),"")</f>
        <v/>
      </c>
      <c r="J601" s="92">
        <f t="shared" si="421"/>
        <v>0</v>
      </c>
      <c r="K601" s="85" t="str">
        <f>IFERROR(IF(LEN(F601)=LENB(F601),ROUND(LEFT(F601,2*LEN(F601)-LENB(F601))/$A$1,3),((ROUND(LEFT(F601,2*LEN(F601)-LENB(F601))/$A$1,3))*VLOOKUP(J601,食材表!$A:$B,2,FALSE))),"")</f>
        <v/>
      </c>
      <c r="L601" s="344"/>
      <c r="M601" s="344"/>
      <c r="N601" s="344"/>
      <c r="O601" s="344"/>
      <c r="P601" s="344"/>
      <c r="Q601" s="344"/>
      <c r="R601" s="344"/>
      <c r="S601" s="344"/>
    </row>
    <row r="602" spans="1:19">
      <c r="A602" s="33" t="str">
        <f t="shared" ref="A602" si="425">"1"&amp;+$B602</f>
        <v>1</v>
      </c>
      <c r="B602"/>
      <c r="C602"/>
      <c r="D602"/>
      <c r="E602"/>
      <c r="F602"/>
      <c r="G602" s="352">
        <f t="shared" ref="G602" si="426">B602</f>
        <v>0</v>
      </c>
      <c r="H602" s="91">
        <f t="shared" si="420"/>
        <v>0</v>
      </c>
      <c r="I602" s="83" t="str">
        <f>IFERROR(IF(LEN(D602)=LENB(D602),ROUND(LEFT(D602,2*LEN(D602)-LENB(D602))/$A$1,3),((ROUND(LEFT(D602,2*LEN(D602)-LENB(D602))/$A$1,3))*VLOOKUP(H602,食材表!$A:$B,2,FALSE))),"")</f>
        <v/>
      </c>
      <c r="J602" s="91">
        <f t="shared" si="421"/>
        <v>0</v>
      </c>
      <c r="K602" s="83" t="str">
        <f>IFERROR(IF(LEN(F602)=LENB(F602),ROUND(LEFT(F602,2*LEN(F602)-LENB(F602))/$A$1,3),((ROUND(LEFT(F602,2*LEN(F602)-LENB(F602))/$A$1,3))*VLOOKUP(J602,食材表!$A:$B,2,FALSE))),"")</f>
        <v/>
      </c>
      <c r="L602" s="342">
        <f>IFERROR($I602*VLOOKUP($H602,食材表!$A:C,3,FALSE),0)+IFERROR($I603*VLOOKUP($H603,食材表!$A:C,3,FALSE),0)+IFERROR($I604*VLOOKUP($H604,食材表!$A:C,3,FALSE),0)+IFERROR($K602*VLOOKUP($J602,食材表!$A:C,3,FALSE),0)+IFERROR($K603*VLOOKUP($J603,食材表!$A:C,3,FALSE),0)+IFERROR($K604*VLOOKUP($J604,食材表!$A:C,3,FALSE),0)</f>
        <v>0</v>
      </c>
      <c r="M602" s="342">
        <f>IFERROR($I602*VLOOKUP($H602,食材表!$A:D,4,FALSE),0)+IFERROR($I603*VLOOKUP($H603,食材表!$A:D,4,FALSE),0)+IFERROR($I604*VLOOKUP($H604,食材表!$A:D,4,FALSE),0)+IFERROR($K602*VLOOKUP($J602,食材表!$A:D,4,FALSE),0)+IFERROR($K603*VLOOKUP($J603,食材表!$A:D,4,FALSE),0)+IFERROR($K604*VLOOKUP($J604,食材表!$A:D,4,FALSE),0)</f>
        <v>0</v>
      </c>
      <c r="N602" s="342">
        <f>IFERROR($I602*VLOOKUP($H602,食材表!$A:E,5,FALSE),0)+IFERROR($I603*VLOOKUP($H603,食材表!$A:E,5,FALSE),0)+IFERROR($I604*VLOOKUP($H604,食材表!$A:E,5,FALSE),0)+IFERROR($K602*VLOOKUP($J602,食材表!$A:E,5,FALSE),0)+IFERROR($K603*VLOOKUP($J603,食材表!$A:E,5,FALSE),0)+IFERROR($K604*VLOOKUP($J604,食材表!$A:E,5,FALSE),0)</f>
        <v>0</v>
      </c>
      <c r="O602" s="342">
        <f>IFERROR($I602*VLOOKUP($H602,食材表!$A:F,6,FALSE),0)+IFERROR($I603*VLOOKUP($H603,食材表!$A:F,6,FALSE),0)+IFERROR($I604*VLOOKUP($H604,食材表!$A:F,6,FALSE),0)+IFERROR($K602*VLOOKUP($J602,食材表!$A:F,6,FALSE),0)+IFERROR($K603*VLOOKUP($J603,食材表!$A:F,6,FALSE),0)+IFERROR($K604*VLOOKUP($J604,食材表!$A:F,6,FALSE),0)</f>
        <v>0</v>
      </c>
      <c r="P602" s="342">
        <f>IFERROR($I602*VLOOKUP($H602,食材表!$A:G,7,FALSE),0)+IFERROR($I603*VLOOKUP($H603,食材表!$A:G,7,FALSE),0)+IFERROR($I604*VLOOKUP($H604,食材表!$A:G,7,FALSE),0)+IFERROR($K602*VLOOKUP($J602,食材表!$A:G,7,FALSE),0)+IFERROR($K603*VLOOKUP($J603,食材表!$A:G,7,FALSE),0)+IFERROR($K604*VLOOKUP($J604,食材表!$A:G,7,FALSE),0)</f>
        <v>0</v>
      </c>
      <c r="Q602" s="342">
        <f>IFERROR($I602*VLOOKUP($H602,食材表!$A:H,8,FALSE),0)+IFERROR($I603*VLOOKUP($H603,食材表!$A:H,8,FALSE),0)+IFERROR($I604*VLOOKUP($H604,食材表!$A:H,8,FALSE),0)+IFERROR($K602*VLOOKUP($J602,食材表!$A:H,8,FALSE),0)+IFERROR($K603*VLOOKUP($J603,食材表!$A:H,8,FALSE),0)+IFERROR($K604*VLOOKUP($J604,食材表!$A:H,8,FALSE),0)</f>
        <v>0</v>
      </c>
      <c r="R602" s="342">
        <f>IFERROR($I602*VLOOKUP($H602,食材表!$A:I,9,FALSE),0)+IFERROR($I603*VLOOKUP($H603,食材表!$A:I,9,FALSE),0)+IFERROR($I604*VLOOKUP($H604,食材表!$A:I,9,FALSE),0)+IFERROR($K602*VLOOKUP($J602,食材表!$A:I,9,FALSE),0)+IFERROR($K603*VLOOKUP($J603,食材表!$A:I,9,FALSE),0)+IFERROR($K604*VLOOKUP($J604,食材表!$A:I,9,FALSE),0)</f>
        <v>0</v>
      </c>
      <c r="S602" s="342">
        <f t="shared" ref="S602" si="427">SUM(L602*70+M602*75+N602*120+O602*25+P602*60+Q602*45+R602*4)</f>
        <v>0</v>
      </c>
    </row>
    <row r="603" spans="1:19">
      <c r="A603" s="33" t="str">
        <f t="shared" ref="A603" si="428">"2"&amp;+$B602</f>
        <v>2</v>
      </c>
      <c r="B603"/>
      <c r="C603"/>
      <c r="D603"/>
      <c r="E603"/>
      <c r="F603"/>
      <c r="G603" s="353"/>
      <c r="H603" s="93">
        <f t="shared" si="420"/>
        <v>0</v>
      </c>
      <c r="I603" s="86" t="str">
        <f>IFERROR(IF(LEN(D603)=LENB(D603),ROUND(LEFT(D603,2*LEN(D603)-LENB(D603))/$A$1,3),((ROUND(LEFT(D603,2*LEN(D603)-LENB(D603))/$A$1,3))*VLOOKUP(H603,食材表!$A:$B,2,FALSE))),"")</f>
        <v/>
      </c>
      <c r="J603" s="93">
        <f t="shared" si="421"/>
        <v>0</v>
      </c>
      <c r="K603" s="86" t="str">
        <f>IFERROR(IF(LEN(F603)=LENB(F603),ROUND(LEFT(F603,2*LEN(F603)-LENB(F603))/$A$1,3),((ROUND(LEFT(F603,2*LEN(F603)-LENB(F603))/$A$1,3))*VLOOKUP(J603,食材表!$A:$B,2,FALSE))),"")</f>
        <v/>
      </c>
      <c r="L603" s="343"/>
      <c r="M603" s="343"/>
      <c r="N603" s="343"/>
      <c r="O603" s="343"/>
      <c r="P603" s="343"/>
      <c r="Q603" s="343"/>
      <c r="R603" s="343"/>
      <c r="S603" s="343"/>
    </row>
    <row r="604" spans="1:19">
      <c r="A604" s="33" t="str">
        <f t="shared" ref="A604" si="429">"3"&amp;+$B602</f>
        <v>3</v>
      </c>
      <c r="B604"/>
      <c r="C604"/>
      <c r="D604"/>
      <c r="E604"/>
      <c r="F604"/>
      <c r="G604" s="354"/>
      <c r="H604" s="92">
        <f t="shared" si="420"/>
        <v>0</v>
      </c>
      <c r="I604" s="84" t="str">
        <f>IFERROR(IF(LEN(D604)=LENB(D604),ROUND(LEFT(D604,2*LEN(D604)-LENB(D604))/$A$1,3),((ROUND(LEFT(D604,2*LEN(D604)-LENB(D604))/$A$1,3))*VLOOKUP(H604,食材表!$A:$B,2,FALSE))),"")</f>
        <v/>
      </c>
      <c r="J604" s="92">
        <f t="shared" si="421"/>
        <v>0</v>
      </c>
      <c r="K604" s="85" t="str">
        <f>IFERROR(IF(LEN(F604)=LENB(F604),ROUND(LEFT(F604,2*LEN(F604)-LENB(F604))/$A$1,3),((ROUND(LEFT(F604,2*LEN(F604)-LENB(F604))/$A$1,3))*VLOOKUP(J604,食材表!$A:$B,2,FALSE))),"")</f>
        <v/>
      </c>
      <c r="L604" s="344"/>
      <c r="M604" s="344"/>
      <c r="N604" s="344"/>
      <c r="O604" s="344"/>
      <c r="P604" s="344"/>
      <c r="Q604" s="344"/>
      <c r="R604" s="344"/>
      <c r="S604" s="344"/>
    </row>
    <row r="605" spans="1:19">
      <c r="A605" s="33" t="str">
        <f t="shared" ref="A605" si="430">"1"&amp;+$B605</f>
        <v>1</v>
      </c>
      <c r="B605"/>
      <c r="C605"/>
      <c r="D605"/>
      <c r="E605"/>
      <c r="F605"/>
      <c r="G605" s="352">
        <f t="shared" ref="G605" si="431">B605</f>
        <v>0</v>
      </c>
      <c r="H605" s="91">
        <f t="shared" si="420"/>
        <v>0</v>
      </c>
      <c r="I605" s="83" t="str">
        <f>IFERROR(IF(LEN(D605)=LENB(D605),ROUND(LEFT(D605,2*LEN(D605)-LENB(D605))/$A$1,3),((ROUND(LEFT(D605,2*LEN(D605)-LENB(D605))/$A$1,3))*VLOOKUP(H605,食材表!$A:$B,2,FALSE))),"")</f>
        <v/>
      </c>
      <c r="J605" s="91">
        <f t="shared" si="421"/>
        <v>0</v>
      </c>
      <c r="K605" s="83" t="str">
        <f>IFERROR(IF(LEN(F605)=LENB(F605),ROUND(LEFT(F605,2*LEN(F605)-LENB(F605))/$A$1,3),((ROUND(LEFT(F605,2*LEN(F605)-LENB(F605))/$A$1,3))*VLOOKUP(J605,食材表!$A:$B,2,FALSE))),"")</f>
        <v/>
      </c>
      <c r="L605" s="342">
        <f>IFERROR($I605*VLOOKUP($H605,食材表!$A:C,3,FALSE),0)+IFERROR($I606*VLOOKUP($H606,食材表!$A:C,3,FALSE),0)+IFERROR($I607*VLOOKUP($H607,食材表!$A:C,3,FALSE),0)+IFERROR($K605*VLOOKUP($J605,食材表!$A:C,3,FALSE),0)+IFERROR($K606*VLOOKUP($J606,食材表!$A:C,3,FALSE),0)+IFERROR($K607*VLOOKUP($J607,食材表!$A:C,3,FALSE),0)</f>
        <v>0</v>
      </c>
      <c r="M605" s="342">
        <f>IFERROR($I605*VLOOKUP($H605,食材表!$A:D,4,FALSE),0)+IFERROR($I606*VLOOKUP($H606,食材表!$A:D,4,FALSE),0)+IFERROR($I607*VLOOKUP($H607,食材表!$A:D,4,FALSE),0)+IFERROR($K605*VLOOKUP($J605,食材表!$A:D,4,FALSE),0)+IFERROR($K606*VLOOKUP($J606,食材表!$A:D,4,FALSE),0)+IFERROR($K607*VLOOKUP($J607,食材表!$A:D,4,FALSE),0)</f>
        <v>0</v>
      </c>
      <c r="N605" s="342">
        <f>IFERROR($I605*VLOOKUP($H605,食材表!$A:E,5,FALSE),0)+IFERROR($I606*VLOOKUP($H606,食材表!$A:E,5,FALSE),0)+IFERROR($I607*VLOOKUP($H607,食材表!$A:E,5,FALSE),0)+IFERROR($K605*VLOOKUP($J605,食材表!$A:E,5,FALSE),0)+IFERROR($K606*VLOOKUP($J606,食材表!$A:E,5,FALSE),0)+IFERROR($K607*VLOOKUP($J607,食材表!$A:E,5,FALSE),0)</f>
        <v>0</v>
      </c>
      <c r="O605" s="342">
        <f>IFERROR($I605*VLOOKUP($H605,食材表!$A:F,6,FALSE),0)+IFERROR($I606*VLOOKUP($H606,食材表!$A:F,6,FALSE),0)+IFERROR($I607*VLOOKUP($H607,食材表!$A:F,6,FALSE),0)+IFERROR($K605*VLOOKUP($J605,食材表!$A:F,6,FALSE),0)+IFERROR($K606*VLOOKUP($J606,食材表!$A:F,6,FALSE),0)+IFERROR($K607*VLOOKUP($J607,食材表!$A:F,6,FALSE),0)</f>
        <v>0</v>
      </c>
      <c r="P605" s="342">
        <f>IFERROR($I605*VLOOKUP($H605,食材表!$A:G,7,FALSE),0)+IFERROR($I606*VLOOKUP($H606,食材表!$A:G,7,FALSE),0)+IFERROR($I607*VLOOKUP($H607,食材表!$A:G,7,FALSE),0)+IFERROR($K605*VLOOKUP($J605,食材表!$A:G,7,FALSE),0)+IFERROR($K606*VLOOKUP($J606,食材表!$A:G,7,FALSE),0)+IFERROR($K607*VLOOKUP($J607,食材表!$A:G,7,FALSE),0)</f>
        <v>0</v>
      </c>
      <c r="Q605" s="342">
        <f>IFERROR($I605*VLOOKUP($H605,食材表!$A:H,8,FALSE),0)+IFERROR($I606*VLOOKUP($H606,食材表!$A:H,8,FALSE),0)+IFERROR($I607*VLOOKUP($H607,食材表!$A:H,8,FALSE),0)+IFERROR($K605*VLOOKUP($J605,食材表!$A:H,8,FALSE),0)+IFERROR($K606*VLOOKUP($J606,食材表!$A:H,8,FALSE),0)+IFERROR($K607*VLOOKUP($J607,食材表!$A:H,8,FALSE),0)</f>
        <v>0</v>
      </c>
      <c r="R605" s="342">
        <f>IFERROR($I605*VLOOKUP($H605,食材表!$A:I,9,FALSE),0)+IFERROR($I606*VLOOKUP($H606,食材表!$A:I,9,FALSE),0)+IFERROR($I607*VLOOKUP($H607,食材表!$A:I,9,FALSE),0)+IFERROR($K605*VLOOKUP($J605,食材表!$A:I,9,FALSE),0)+IFERROR($K606*VLOOKUP($J606,食材表!$A:I,9,FALSE),0)+IFERROR($K607*VLOOKUP($J607,食材表!$A:I,9,FALSE),0)</f>
        <v>0</v>
      </c>
      <c r="S605" s="342">
        <f t="shared" ref="S605" si="432">SUM(L605*70+M605*75+N605*120+O605*25+P605*60+Q605*45+R605*4)</f>
        <v>0</v>
      </c>
    </row>
    <row r="606" spans="1:19">
      <c r="A606" s="33" t="str">
        <f t="shared" ref="A606" si="433">"2"&amp;+$B605</f>
        <v>2</v>
      </c>
      <c r="B606"/>
      <c r="C606"/>
      <c r="D606"/>
      <c r="E606"/>
      <c r="F606"/>
      <c r="G606" s="353"/>
      <c r="H606" s="93">
        <f t="shared" si="420"/>
        <v>0</v>
      </c>
      <c r="I606" s="86" t="str">
        <f>IFERROR(IF(LEN(D606)=LENB(D606),ROUND(LEFT(D606,2*LEN(D606)-LENB(D606))/$A$1,3),((ROUND(LEFT(D606,2*LEN(D606)-LENB(D606))/$A$1,3))*VLOOKUP(H606,食材表!$A:$B,2,FALSE))),"")</f>
        <v/>
      </c>
      <c r="J606" s="93">
        <f t="shared" si="421"/>
        <v>0</v>
      </c>
      <c r="K606" s="86" t="str">
        <f>IFERROR(IF(LEN(F606)=LENB(F606),ROUND(LEFT(F606,2*LEN(F606)-LENB(F606))/$A$1,3),((ROUND(LEFT(F606,2*LEN(F606)-LENB(F606))/$A$1,3))*VLOOKUP(J606,食材表!$A:$B,2,FALSE))),"")</f>
        <v/>
      </c>
      <c r="L606" s="343"/>
      <c r="M606" s="343"/>
      <c r="N606" s="343"/>
      <c r="O606" s="343"/>
      <c r="P606" s="343"/>
      <c r="Q606" s="343"/>
      <c r="R606" s="343"/>
      <c r="S606" s="343"/>
    </row>
    <row r="607" spans="1:19">
      <c r="A607" s="33" t="str">
        <f t="shared" ref="A607" si="434">"3"&amp;+$B605</f>
        <v>3</v>
      </c>
      <c r="B607"/>
      <c r="C607"/>
      <c r="D607"/>
      <c r="E607"/>
      <c r="F607"/>
      <c r="G607" s="354"/>
      <c r="H607" s="92">
        <f t="shared" si="420"/>
        <v>0</v>
      </c>
      <c r="I607" s="84" t="str">
        <f>IFERROR(IF(LEN(D607)=LENB(D607),ROUND(LEFT(D607,2*LEN(D607)-LENB(D607))/$A$1,3),((ROUND(LEFT(D607,2*LEN(D607)-LENB(D607))/$A$1,3))*VLOOKUP(H607,食材表!$A:$B,2,FALSE))),"")</f>
        <v/>
      </c>
      <c r="J607" s="92">
        <f t="shared" si="421"/>
        <v>0</v>
      </c>
      <c r="K607" s="85" t="str">
        <f>IFERROR(IF(LEN(F607)=LENB(F607),ROUND(LEFT(F607,2*LEN(F607)-LENB(F607))/$A$1,3),((ROUND(LEFT(F607,2*LEN(F607)-LENB(F607))/$A$1,3))*VLOOKUP(J607,食材表!$A:$B,2,FALSE))),"")</f>
        <v/>
      </c>
      <c r="L607" s="344"/>
      <c r="M607" s="344"/>
      <c r="N607" s="344"/>
      <c r="O607" s="344"/>
      <c r="P607" s="344"/>
      <c r="Q607" s="344"/>
      <c r="R607" s="344"/>
      <c r="S607" s="344"/>
    </row>
    <row r="608" spans="1:19">
      <c r="A608" s="33" t="str">
        <f t="shared" ref="A608" si="435">"1"&amp;+$B608</f>
        <v>1</v>
      </c>
      <c r="B608"/>
      <c r="C608"/>
      <c r="D608"/>
      <c r="E608"/>
      <c r="F608"/>
      <c r="G608" s="352">
        <f t="shared" ref="G608" si="436">B608</f>
        <v>0</v>
      </c>
      <c r="H608" s="91">
        <f t="shared" si="420"/>
        <v>0</v>
      </c>
      <c r="I608" s="83" t="str">
        <f>IFERROR(IF(LEN(D608)=LENB(D608),ROUND(LEFT(D608,2*LEN(D608)-LENB(D608))/$A$1,3),((ROUND(LEFT(D608,2*LEN(D608)-LENB(D608))/$A$1,3))*VLOOKUP(H608,食材表!$A:$B,2,FALSE))),"")</f>
        <v/>
      </c>
      <c r="J608" s="91">
        <f t="shared" si="421"/>
        <v>0</v>
      </c>
      <c r="K608" s="83" t="str">
        <f>IFERROR(IF(LEN(F608)=LENB(F608),ROUND(LEFT(F608,2*LEN(F608)-LENB(F608))/$A$1,3),((ROUND(LEFT(F608,2*LEN(F608)-LENB(F608))/$A$1,3))*VLOOKUP(J608,食材表!$A:$B,2,FALSE))),"")</f>
        <v/>
      </c>
      <c r="L608" s="342">
        <f>IFERROR($I608*VLOOKUP($H608,食材表!$A:C,3,FALSE),0)+IFERROR($I609*VLOOKUP($H609,食材表!$A:C,3,FALSE),0)+IFERROR($I610*VLOOKUP($H610,食材表!$A:C,3,FALSE),0)+IFERROR($K608*VLOOKUP($J608,食材表!$A:C,3,FALSE),0)+IFERROR($K609*VLOOKUP($J609,食材表!$A:C,3,FALSE),0)+IFERROR($K610*VLOOKUP($J610,食材表!$A:C,3,FALSE),0)</f>
        <v>0</v>
      </c>
      <c r="M608" s="342">
        <f>IFERROR($I608*VLOOKUP($H608,食材表!$A:D,4,FALSE),0)+IFERROR($I609*VLOOKUP($H609,食材表!$A:D,4,FALSE),0)+IFERROR($I610*VLOOKUP($H610,食材表!$A:D,4,FALSE),0)+IFERROR($K608*VLOOKUP($J608,食材表!$A:D,4,FALSE),0)+IFERROR($K609*VLOOKUP($J609,食材表!$A:D,4,FALSE),0)+IFERROR($K610*VLOOKUP($J610,食材表!$A:D,4,FALSE),0)</f>
        <v>0</v>
      </c>
      <c r="N608" s="342">
        <f>IFERROR($I608*VLOOKUP($H608,食材表!$A:E,5,FALSE),0)+IFERROR($I609*VLOOKUP($H609,食材表!$A:E,5,FALSE),0)+IFERROR($I610*VLOOKUP($H610,食材表!$A:E,5,FALSE),0)+IFERROR($K608*VLOOKUP($J608,食材表!$A:E,5,FALSE),0)+IFERROR($K609*VLOOKUP($J609,食材表!$A:E,5,FALSE),0)+IFERROR($K610*VLOOKUP($J610,食材表!$A:E,5,FALSE),0)</f>
        <v>0</v>
      </c>
      <c r="O608" s="342">
        <f>IFERROR($I608*VLOOKUP($H608,食材表!$A:F,6,FALSE),0)+IFERROR($I609*VLOOKUP($H609,食材表!$A:F,6,FALSE),0)+IFERROR($I610*VLOOKUP($H610,食材表!$A:F,6,FALSE),0)+IFERROR($K608*VLOOKUP($J608,食材表!$A:F,6,FALSE),0)+IFERROR($K609*VLOOKUP($J609,食材表!$A:F,6,FALSE),0)+IFERROR($K610*VLOOKUP($J610,食材表!$A:F,6,FALSE),0)</f>
        <v>0</v>
      </c>
      <c r="P608" s="342">
        <f>IFERROR($I608*VLOOKUP($H608,食材表!$A:G,7,FALSE),0)+IFERROR($I609*VLOOKUP($H609,食材表!$A:G,7,FALSE),0)+IFERROR($I610*VLOOKUP($H610,食材表!$A:G,7,FALSE),0)+IFERROR($K608*VLOOKUP($J608,食材表!$A:G,7,FALSE),0)+IFERROR($K609*VLOOKUP($J609,食材表!$A:G,7,FALSE),0)+IFERROR($K610*VLOOKUP($J610,食材表!$A:G,7,FALSE),0)</f>
        <v>0</v>
      </c>
      <c r="Q608" s="342">
        <f>IFERROR($I608*VLOOKUP($H608,食材表!$A:H,8,FALSE),0)+IFERROR($I609*VLOOKUP($H609,食材表!$A:H,8,FALSE),0)+IFERROR($I610*VLOOKUP($H610,食材表!$A:H,8,FALSE),0)+IFERROR($K608*VLOOKUP($J608,食材表!$A:H,8,FALSE),0)+IFERROR($K609*VLOOKUP($J609,食材表!$A:H,8,FALSE),0)+IFERROR($K610*VLOOKUP($J610,食材表!$A:H,8,FALSE),0)</f>
        <v>0</v>
      </c>
      <c r="R608" s="342">
        <f>IFERROR($I608*VLOOKUP($H608,食材表!$A:I,9,FALSE),0)+IFERROR($I609*VLOOKUP($H609,食材表!$A:I,9,FALSE),0)+IFERROR($I610*VLOOKUP($H610,食材表!$A:I,9,FALSE),0)+IFERROR($K608*VLOOKUP($J608,食材表!$A:I,9,FALSE),0)+IFERROR($K609*VLOOKUP($J609,食材表!$A:I,9,FALSE),0)+IFERROR($K610*VLOOKUP($J610,食材表!$A:I,9,FALSE),0)</f>
        <v>0</v>
      </c>
      <c r="S608" s="342">
        <f t="shared" ref="S608" si="437">SUM(L608*70+M608*75+N608*120+O608*25+P608*60+Q608*45+R608*4)</f>
        <v>0</v>
      </c>
    </row>
    <row r="609" spans="1:19">
      <c r="A609" s="33" t="str">
        <f t="shared" ref="A609" si="438">"2"&amp;+$B608</f>
        <v>2</v>
      </c>
      <c r="B609"/>
      <c r="C609"/>
      <c r="D609"/>
      <c r="E609"/>
      <c r="F609"/>
      <c r="G609" s="353"/>
      <c r="H609" s="93">
        <f t="shared" si="420"/>
        <v>0</v>
      </c>
      <c r="I609" s="86" t="str">
        <f>IFERROR(IF(LEN(D609)=LENB(D609),ROUND(LEFT(D609,2*LEN(D609)-LENB(D609))/$A$1,3),((ROUND(LEFT(D609,2*LEN(D609)-LENB(D609))/$A$1,3))*VLOOKUP(H609,食材表!$A:$B,2,FALSE))),"")</f>
        <v/>
      </c>
      <c r="J609" s="93">
        <f t="shared" si="421"/>
        <v>0</v>
      </c>
      <c r="K609" s="86" t="str">
        <f>IFERROR(IF(LEN(F609)=LENB(F609),ROUND(LEFT(F609,2*LEN(F609)-LENB(F609))/$A$1,3),((ROUND(LEFT(F609,2*LEN(F609)-LENB(F609))/$A$1,3))*VLOOKUP(J609,食材表!$A:$B,2,FALSE))),"")</f>
        <v/>
      </c>
      <c r="L609" s="343"/>
      <c r="M609" s="343"/>
      <c r="N609" s="343"/>
      <c r="O609" s="343"/>
      <c r="P609" s="343"/>
      <c r="Q609" s="343"/>
      <c r="R609" s="343"/>
      <c r="S609" s="343"/>
    </row>
    <row r="610" spans="1:19">
      <c r="A610" s="33" t="str">
        <f t="shared" ref="A610" si="439">"3"&amp;+$B608</f>
        <v>3</v>
      </c>
      <c r="B610"/>
      <c r="C610"/>
      <c r="D610"/>
      <c r="E610"/>
      <c r="F610"/>
      <c r="G610" s="354"/>
      <c r="H610" s="92">
        <f t="shared" si="420"/>
        <v>0</v>
      </c>
      <c r="I610" s="84" t="str">
        <f>IFERROR(IF(LEN(D610)=LENB(D610),ROUND(LEFT(D610,2*LEN(D610)-LENB(D610))/$A$1,3),((ROUND(LEFT(D610,2*LEN(D610)-LENB(D610))/$A$1,3))*VLOOKUP(H610,食材表!$A:$B,2,FALSE))),"")</f>
        <v/>
      </c>
      <c r="J610" s="92">
        <f t="shared" si="421"/>
        <v>0</v>
      </c>
      <c r="K610" s="85" t="str">
        <f>IFERROR(IF(LEN(F610)=LENB(F610),ROUND(LEFT(F610,2*LEN(F610)-LENB(F610))/$A$1,3),((ROUND(LEFT(F610,2*LEN(F610)-LENB(F610))/$A$1,3))*VLOOKUP(J610,食材表!$A:$B,2,FALSE))),"")</f>
        <v/>
      </c>
      <c r="L610" s="344"/>
      <c r="M610" s="344"/>
      <c r="N610" s="344"/>
      <c r="O610" s="344"/>
      <c r="P610" s="344"/>
      <c r="Q610" s="344"/>
      <c r="R610" s="344"/>
      <c r="S610" s="344"/>
    </row>
    <row r="611" spans="1:19">
      <c r="A611" s="33" t="str">
        <f t="shared" ref="A611" si="440">"1"&amp;+$B611</f>
        <v>1</v>
      </c>
      <c r="B611"/>
      <c r="C611"/>
      <c r="D611"/>
      <c r="E611"/>
      <c r="F611"/>
      <c r="G611" s="352">
        <f t="shared" ref="G611" si="441">B611</f>
        <v>0</v>
      </c>
      <c r="H611" s="91">
        <f t="shared" si="420"/>
        <v>0</v>
      </c>
      <c r="I611" s="83" t="str">
        <f>IFERROR(IF(LEN(D611)=LENB(D611),ROUND(LEFT(D611,2*LEN(D611)-LENB(D611))/$A$1,3),((ROUND(LEFT(D611,2*LEN(D611)-LENB(D611))/$A$1,3))*VLOOKUP(H611,食材表!$A:$B,2,FALSE))),"")</f>
        <v/>
      </c>
      <c r="J611" s="91">
        <f t="shared" si="421"/>
        <v>0</v>
      </c>
      <c r="K611" s="83" t="str">
        <f>IFERROR(IF(LEN(F611)=LENB(F611),ROUND(LEFT(F611,2*LEN(F611)-LENB(F611))/$A$1,3),((ROUND(LEFT(F611,2*LEN(F611)-LENB(F611))/$A$1,3))*VLOOKUP(J611,食材表!$A:$B,2,FALSE))),"")</f>
        <v/>
      </c>
      <c r="L611" s="342">
        <f>IFERROR($I611*VLOOKUP($H611,食材表!$A:C,3,FALSE),0)+IFERROR($I612*VLOOKUP($H612,食材表!$A:C,3,FALSE),0)+IFERROR($I613*VLOOKUP($H613,食材表!$A:C,3,FALSE),0)+IFERROR($K611*VLOOKUP($J611,食材表!$A:C,3,FALSE),0)+IFERROR($K612*VLOOKUP($J612,食材表!$A:C,3,FALSE),0)+IFERROR($K613*VLOOKUP($J613,食材表!$A:C,3,FALSE),0)</f>
        <v>0</v>
      </c>
      <c r="M611" s="342">
        <f>IFERROR($I611*VLOOKUP($H611,食材表!$A:D,4,FALSE),0)+IFERROR($I612*VLOOKUP($H612,食材表!$A:D,4,FALSE),0)+IFERROR($I613*VLOOKUP($H613,食材表!$A:D,4,FALSE),0)+IFERROR($K611*VLOOKUP($J611,食材表!$A:D,4,FALSE),0)+IFERROR($K612*VLOOKUP($J612,食材表!$A:D,4,FALSE),0)+IFERROR($K613*VLOOKUP($J613,食材表!$A:D,4,FALSE),0)</f>
        <v>0</v>
      </c>
      <c r="N611" s="342">
        <f>IFERROR($I611*VLOOKUP($H611,食材表!$A:E,5,FALSE),0)+IFERROR($I612*VLOOKUP($H612,食材表!$A:E,5,FALSE),0)+IFERROR($I613*VLOOKUP($H613,食材表!$A:E,5,FALSE),0)+IFERROR($K611*VLOOKUP($J611,食材表!$A:E,5,FALSE),0)+IFERROR($K612*VLOOKUP($J612,食材表!$A:E,5,FALSE),0)+IFERROR($K613*VLOOKUP($J613,食材表!$A:E,5,FALSE),0)</f>
        <v>0</v>
      </c>
      <c r="O611" s="342">
        <f>IFERROR($I611*VLOOKUP($H611,食材表!$A:F,6,FALSE),0)+IFERROR($I612*VLOOKUP($H612,食材表!$A:F,6,FALSE),0)+IFERROR($I613*VLOOKUP($H613,食材表!$A:F,6,FALSE),0)+IFERROR($K611*VLOOKUP($J611,食材表!$A:F,6,FALSE),0)+IFERROR($K612*VLOOKUP($J612,食材表!$A:F,6,FALSE),0)+IFERROR($K613*VLOOKUP($J613,食材表!$A:F,6,FALSE),0)</f>
        <v>0</v>
      </c>
      <c r="P611" s="342">
        <f>IFERROR($I611*VLOOKUP($H611,食材表!$A:G,7,FALSE),0)+IFERROR($I612*VLOOKUP($H612,食材表!$A:G,7,FALSE),0)+IFERROR($I613*VLOOKUP($H613,食材表!$A:G,7,FALSE),0)+IFERROR($K611*VLOOKUP($J611,食材表!$A:G,7,FALSE),0)+IFERROR($K612*VLOOKUP($J612,食材表!$A:G,7,FALSE),0)+IFERROR($K613*VLOOKUP($J613,食材表!$A:G,7,FALSE),0)</f>
        <v>0</v>
      </c>
      <c r="Q611" s="342">
        <f>IFERROR($I611*VLOOKUP($H611,食材表!$A:H,8,FALSE),0)+IFERROR($I612*VLOOKUP($H612,食材表!$A:H,8,FALSE),0)+IFERROR($I613*VLOOKUP($H613,食材表!$A:H,8,FALSE),0)+IFERROR($K611*VLOOKUP($J611,食材表!$A:H,8,FALSE),0)+IFERROR($K612*VLOOKUP($J612,食材表!$A:H,8,FALSE),0)+IFERROR($K613*VLOOKUP($J613,食材表!$A:H,8,FALSE),0)</f>
        <v>0</v>
      </c>
      <c r="R611" s="342">
        <f>IFERROR($I611*VLOOKUP($H611,食材表!$A:I,9,FALSE),0)+IFERROR($I612*VLOOKUP($H612,食材表!$A:I,9,FALSE),0)+IFERROR($I613*VLOOKUP($H613,食材表!$A:I,9,FALSE),0)+IFERROR($K611*VLOOKUP($J611,食材表!$A:I,9,FALSE),0)+IFERROR($K612*VLOOKUP($J612,食材表!$A:I,9,FALSE),0)+IFERROR($K613*VLOOKUP($J613,食材表!$A:I,9,FALSE),0)</f>
        <v>0</v>
      </c>
      <c r="S611" s="342">
        <f t="shared" ref="S611" si="442">SUM(L611*70+M611*75+N611*120+O611*25+P611*60+Q611*45+R611*4)</f>
        <v>0</v>
      </c>
    </row>
    <row r="612" spans="1:19">
      <c r="A612" s="33" t="str">
        <f t="shared" ref="A612" si="443">"2"&amp;+$B611</f>
        <v>2</v>
      </c>
      <c r="B612"/>
      <c r="C612"/>
      <c r="D612"/>
      <c r="E612"/>
      <c r="F612"/>
      <c r="G612" s="353"/>
      <c r="H612" s="93">
        <f t="shared" si="420"/>
        <v>0</v>
      </c>
      <c r="I612" s="86" t="str">
        <f>IFERROR(IF(LEN(D612)=LENB(D612),ROUND(LEFT(D612,2*LEN(D612)-LENB(D612))/$A$1,3),((ROUND(LEFT(D612,2*LEN(D612)-LENB(D612))/$A$1,3))*VLOOKUP(H612,食材表!$A:$B,2,FALSE))),"")</f>
        <v/>
      </c>
      <c r="J612" s="93">
        <f t="shared" si="421"/>
        <v>0</v>
      </c>
      <c r="K612" s="86" t="str">
        <f>IFERROR(IF(LEN(F612)=LENB(F612),ROUND(LEFT(F612,2*LEN(F612)-LENB(F612))/$A$1,3),((ROUND(LEFT(F612,2*LEN(F612)-LENB(F612))/$A$1,3))*VLOOKUP(J612,食材表!$A:$B,2,FALSE))),"")</f>
        <v/>
      </c>
      <c r="L612" s="343"/>
      <c r="M612" s="343"/>
      <c r="N612" s="343"/>
      <c r="O612" s="343"/>
      <c r="P612" s="343"/>
      <c r="Q612" s="343"/>
      <c r="R612" s="343"/>
      <c r="S612" s="343"/>
    </row>
    <row r="613" spans="1:19">
      <c r="A613" s="33" t="str">
        <f t="shared" ref="A613" si="444">"3"&amp;+$B611</f>
        <v>3</v>
      </c>
      <c r="B613"/>
      <c r="C613"/>
      <c r="D613"/>
      <c r="E613"/>
      <c r="F613"/>
      <c r="G613" s="354"/>
      <c r="H613" s="92">
        <f t="shared" si="420"/>
        <v>0</v>
      </c>
      <c r="I613" s="84" t="str">
        <f>IFERROR(IF(LEN(D613)=LENB(D613),ROUND(LEFT(D613,2*LEN(D613)-LENB(D613))/$A$1,3),((ROUND(LEFT(D613,2*LEN(D613)-LENB(D613))/$A$1,3))*VLOOKUP(H613,食材表!$A:$B,2,FALSE))),"")</f>
        <v/>
      </c>
      <c r="J613" s="92">
        <f t="shared" si="421"/>
        <v>0</v>
      </c>
      <c r="K613" s="85" t="str">
        <f>IFERROR(IF(LEN(F613)=LENB(F613),ROUND(LEFT(F613,2*LEN(F613)-LENB(F613))/$A$1,3),((ROUND(LEFT(F613,2*LEN(F613)-LENB(F613))/$A$1,3))*VLOOKUP(J613,食材表!$A:$B,2,FALSE))),"")</f>
        <v/>
      </c>
      <c r="L613" s="344"/>
      <c r="M613" s="344"/>
      <c r="N613" s="344"/>
      <c r="O613" s="344"/>
      <c r="P613" s="344"/>
      <c r="Q613" s="344"/>
      <c r="R613" s="344"/>
      <c r="S613" s="344"/>
    </row>
    <row r="614" spans="1:19">
      <c r="A614" s="33" t="str">
        <f t="shared" ref="A614" si="445">"1"&amp;+$B614</f>
        <v>1</v>
      </c>
      <c r="B614"/>
      <c r="C614"/>
      <c r="D614"/>
      <c r="E614"/>
      <c r="F614"/>
      <c r="G614" s="352">
        <f t="shared" ref="G614" si="446">B614</f>
        <v>0</v>
      </c>
      <c r="H614" s="91">
        <f t="shared" si="420"/>
        <v>0</v>
      </c>
      <c r="I614" s="83" t="str">
        <f>IFERROR(IF(LEN(D614)=LENB(D614),ROUND(LEFT(D614,2*LEN(D614)-LENB(D614))/$A$1,3),((ROUND(LEFT(D614,2*LEN(D614)-LENB(D614))/$A$1,3))*VLOOKUP(H614,食材表!$A:$B,2,FALSE))),"")</f>
        <v/>
      </c>
      <c r="J614" s="91">
        <f t="shared" si="421"/>
        <v>0</v>
      </c>
      <c r="K614" s="83" t="str">
        <f>IFERROR(IF(LEN(F614)=LENB(F614),ROUND(LEFT(F614,2*LEN(F614)-LENB(F614))/$A$1,3),((ROUND(LEFT(F614,2*LEN(F614)-LENB(F614))/$A$1,3))*VLOOKUP(J614,食材表!$A:$B,2,FALSE))),"")</f>
        <v/>
      </c>
      <c r="L614" s="342">
        <f>IFERROR($I614*VLOOKUP($H614,食材表!$A:C,3,FALSE),0)+IFERROR($I615*VLOOKUP($H615,食材表!$A:C,3,FALSE),0)+IFERROR($I616*VLOOKUP($H616,食材表!$A:C,3,FALSE),0)+IFERROR($K614*VLOOKUP($J614,食材表!$A:C,3,FALSE),0)+IFERROR($K615*VLOOKUP($J615,食材表!$A:C,3,FALSE),0)+IFERROR($K616*VLOOKUP($J616,食材表!$A:C,3,FALSE),0)</f>
        <v>0</v>
      </c>
      <c r="M614" s="342">
        <f>IFERROR($I614*VLOOKUP($H614,食材表!$A:D,4,FALSE),0)+IFERROR($I615*VLOOKUP($H615,食材表!$A:D,4,FALSE),0)+IFERROR($I616*VLOOKUP($H616,食材表!$A:D,4,FALSE),0)+IFERROR($K614*VLOOKUP($J614,食材表!$A:D,4,FALSE),0)+IFERROR($K615*VLOOKUP($J615,食材表!$A:D,4,FALSE),0)+IFERROR($K616*VLOOKUP($J616,食材表!$A:D,4,FALSE),0)</f>
        <v>0</v>
      </c>
      <c r="N614" s="342">
        <f>IFERROR($I614*VLOOKUP($H614,食材表!$A:E,5,FALSE),0)+IFERROR($I615*VLOOKUP($H615,食材表!$A:E,5,FALSE),0)+IFERROR($I616*VLOOKUP($H616,食材表!$A:E,5,FALSE),0)+IFERROR($K614*VLOOKUP($J614,食材表!$A:E,5,FALSE),0)+IFERROR($K615*VLOOKUP($J615,食材表!$A:E,5,FALSE),0)+IFERROR($K616*VLOOKUP($J616,食材表!$A:E,5,FALSE),0)</f>
        <v>0</v>
      </c>
      <c r="O614" s="342">
        <f>IFERROR($I614*VLOOKUP($H614,食材表!$A:F,6,FALSE),0)+IFERROR($I615*VLOOKUP($H615,食材表!$A:F,6,FALSE),0)+IFERROR($I616*VLOOKUP($H616,食材表!$A:F,6,FALSE),0)+IFERROR($K614*VLOOKUP($J614,食材表!$A:F,6,FALSE),0)+IFERROR($K615*VLOOKUP($J615,食材表!$A:F,6,FALSE),0)+IFERROR($K616*VLOOKUP($J616,食材表!$A:F,6,FALSE),0)</f>
        <v>0</v>
      </c>
      <c r="P614" s="342">
        <f>IFERROR($I614*VLOOKUP($H614,食材表!$A:G,7,FALSE),0)+IFERROR($I615*VLOOKUP($H615,食材表!$A:G,7,FALSE),0)+IFERROR($I616*VLOOKUP($H616,食材表!$A:G,7,FALSE),0)+IFERROR($K614*VLOOKUP($J614,食材表!$A:G,7,FALSE),0)+IFERROR($K615*VLOOKUP($J615,食材表!$A:G,7,FALSE),0)+IFERROR($K616*VLOOKUP($J616,食材表!$A:G,7,FALSE),0)</f>
        <v>0</v>
      </c>
      <c r="Q614" s="342">
        <f>IFERROR($I614*VLOOKUP($H614,食材表!$A:H,8,FALSE),0)+IFERROR($I615*VLOOKUP($H615,食材表!$A:H,8,FALSE),0)+IFERROR($I616*VLOOKUP($H616,食材表!$A:H,8,FALSE),0)+IFERROR($K614*VLOOKUP($J614,食材表!$A:H,8,FALSE),0)+IFERROR($K615*VLOOKUP($J615,食材表!$A:H,8,FALSE),0)+IFERROR($K616*VLOOKUP($J616,食材表!$A:H,8,FALSE),0)</f>
        <v>0</v>
      </c>
      <c r="R614" s="342">
        <f>IFERROR($I614*VLOOKUP($H614,食材表!$A:I,9,FALSE),0)+IFERROR($I615*VLOOKUP($H615,食材表!$A:I,9,FALSE),0)+IFERROR($I616*VLOOKUP($H616,食材表!$A:I,9,FALSE),0)+IFERROR($K614*VLOOKUP($J614,食材表!$A:I,9,FALSE),0)+IFERROR($K615*VLOOKUP($J615,食材表!$A:I,9,FALSE),0)+IFERROR($K616*VLOOKUP($J616,食材表!$A:I,9,FALSE),0)</f>
        <v>0</v>
      </c>
      <c r="S614" s="342">
        <f t="shared" ref="S614" si="447">SUM(L614*70+M614*75+N614*120+O614*25+P614*60+Q614*45+R614*4)</f>
        <v>0</v>
      </c>
    </row>
    <row r="615" spans="1:19">
      <c r="A615" s="33" t="str">
        <f t="shared" ref="A615" si="448">"2"&amp;+$B614</f>
        <v>2</v>
      </c>
      <c r="B615"/>
      <c r="C615"/>
      <c r="D615"/>
      <c r="E615"/>
      <c r="F615"/>
      <c r="G615" s="353"/>
      <c r="H615" s="93">
        <f t="shared" si="420"/>
        <v>0</v>
      </c>
      <c r="I615" s="86" t="str">
        <f>IFERROR(IF(LEN(D615)=LENB(D615),ROUND(LEFT(D615,2*LEN(D615)-LENB(D615))/$A$1,3),((ROUND(LEFT(D615,2*LEN(D615)-LENB(D615))/$A$1,3))*VLOOKUP(H615,食材表!$A:$B,2,FALSE))),"")</f>
        <v/>
      </c>
      <c r="J615" s="93">
        <f t="shared" si="421"/>
        <v>0</v>
      </c>
      <c r="K615" s="86" t="str">
        <f>IFERROR(IF(LEN(F615)=LENB(F615),ROUND(LEFT(F615,2*LEN(F615)-LENB(F615))/$A$1,3),((ROUND(LEFT(F615,2*LEN(F615)-LENB(F615))/$A$1,3))*VLOOKUP(J615,食材表!$A:$B,2,FALSE))),"")</f>
        <v/>
      </c>
      <c r="L615" s="343"/>
      <c r="M615" s="343"/>
      <c r="N615" s="343"/>
      <c r="O615" s="343"/>
      <c r="P615" s="343"/>
      <c r="Q615" s="343"/>
      <c r="R615" s="343"/>
      <c r="S615" s="343"/>
    </row>
    <row r="616" spans="1:19">
      <c r="A616" s="33" t="str">
        <f t="shared" ref="A616" si="449">"3"&amp;+$B614</f>
        <v>3</v>
      </c>
      <c r="B616"/>
      <c r="C616"/>
      <c r="D616"/>
      <c r="E616"/>
      <c r="F616"/>
      <c r="G616" s="354"/>
      <c r="H616" s="92">
        <f t="shared" si="420"/>
        <v>0</v>
      </c>
      <c r="I616" s="84" t="str">
        <f>IFERROR(IF(LEN(D616)=LENB(D616),ROUND(LEFT(D616,2*LEN(D616)-LENB(D616))/$A$1,3),((ROUND(LEFT(D616,2*LEN(D616)-LENB(D616))/$A$1,3))*VLOOKUP(H616,食材表!$A:$B,2,FALSE))),"")</f>
        <v/>
      </c>
      <c r="J616" s="92">
        <f t="shared" si="421"/>
        <v>0</v>
      </c>
      <c r="K616" s="85" t="str">
        <f>IFERROR(IF(LEN(F616)=LENB(F616),ROUND(LEFT(F616,2*LEN(F616)-LENB(F616))/$A$1,3),((ROUND(LEFT(F616,2*LEN(F616)-LENB(F616))/$A$1,3))*VLOOKUP(J616,食材表!$A:$B,2,FALSE))),"")</f>
        <v/>
      </c>
      <c r="L616" s="344"/>
      <c r="M616" s="344"/>
      <c r="N616" s="344"/>
      <c r="O616" s="344"/>
      <c r="P616" s="344"/>
      <c r="Q616" s="344"/>
      <c r="R616" s="344"/>
      <c r="S616" s="344"/>
    </row>
    <row r="617" spans="1:19">
      <c r="A617" s="33" t="str">
        <f t="shared" ref="A617" si="450">"1"&amp;+$B617</f>
        <v>1</v>
      </c>
      <c r="B617"/>
      <c r="C617"/>
      <c r="D617"/>
      <c r="E617"/>
      <c r="F617"/>
      <c r="G617" s="352">
        <f t="shared" ref="G617" si="451">B617</f>
        <v>0</v>
      </c>
      <c r="H617" s="91">
        <f t="shared" si="420"/>
        <v>0</v>
      </c>
      <c r="I617" s="83" t="str">
        <f>IFERROR(IF(LEN(D617)=LENB(D617),ROUND(LEFT(D617,2*LEN(D617)-LENB(D617))/$A$1,3),((ROUND(LEFT(D617,2*LEN(D617)-LENB(D617))/$A$1,3))*VLOOKUP(H617,食材表!$A:$B,2,FALSE))),"")</f>
        <v/>
      </c>
      <c r="J617" s="91">
        <f t="shared" si="421"/>
        <v>0</v>
      </c>
      <c r="K617" s="83" t="str">
        <f>IFERROR(IF(LEN(F617)=LENB(F617),ROUND(LEFT(F617,2*LEN(F617)-LENB(F617))/$A$1,3),((ROUND(LEFT(F617,2*LEN(F617)-LENB(F617))/$A$1,3))*VLOOKUP(J617,食材表!$A:$B,2,FALSE))),"")</f>
        <v/>
      </c>
      <c r="L617" s="342">
        <f>IFERROR($I617*VLOOKUP($H617,食材表!$A:C,3,FALSE),0)+IFERROR($I618*VLOOKUP($H618,食材表!$A:C,3,FALSE),0)+IFERROR($I619*VLOOKUP($H619,食材表!$A:C,3,FALSE),0)+IFERROR($K617*VLOOKUP($J617,食材表!$A:C,3,FALSE),0)+IFERROR($K618*VLOOKUP($J618,食材表!$A:C,3,FALSE),0)+IFERROR($K619*VLOOKUP($J619,食材表!$A:C,3,FALSE),0)</f>
        <v>0</v>
      </c>
      <c r="M617" s="342">
        <f>IFERROR($I617*VLOOKUP($H617,食材表!$A:D,4,FALSE),0)+IFERROR($I618*VLOOKUP($H618,食材表!$A:D,4,FALSE),0)+IFERROR($I619*VLOOKUP($H619,食材表!$A:D,4,FALSE),0)+IFERROR($K617*VLOOKUP($J617,食材表!$A:D,4,FALSE),0)+IFERROR($K618*VLOOKUP($J618,食材表!$A:D,4,FALSE),0)+IFERROR($K619*VLOOKUP($J619,食材表!$A:D,4,FALSE),0)</f>
        <v>0</v>
      </c>
      <c r="N617" s="342">
        <f>IFERROR($I617*VLOOKUP($H617,食材表!$A:E,5,FALSE),0)+IFERROR($I618*VLOOKUP($H618,食材表!$A:E,5,FALSE),0)+IFERROR($I619*VLOOKUP($H619,食材表!$A:E,5,FALSE),0)+IFERROR($K617*VLOOKUP($J617,食材表!$A:E,5,FALSE),0)+IFERROR($K618*VLOOKUP($J618,食材表!$A:E,5,FALSE),0)+IFERROR($K619*VLOOKUP($J619,食材表!$A:E,5,FALSE),0)</f>
        <v>0</v>
      </c>
      <c r="O617" s="342">
        <f>IFERROR($I617*VLOOKUP($H617,食材表!$A:F,6,FALSE),0)+IFERROR($I618*VLOOKUP($H618,食材表!$A:F,6,FALSE),0)+IFERROR($I619*VLOOKUP($H619,食材表!$A:F,6,FALSE),0)+IFERROR($K617*VLOOKUP($J617,食材表!$A:F,6,FALSE),0)+IFERROR($K618*VLOOKUP($J618,食材表!$A:F,6,FALSE),0)+IFERROR($K619*VLOOKUP($J619,食材表!$A:F,6,FALSE),0)</f>
        <v>0</v>
      </c>
      <c r="P617" s="342">
        <f>IFERROR($I617*VLOOKUP($H617,食材表!$A:G,7,FALSE),0)+IFERROR($I618*VLOOKUP($H618,食材表!$A:G,7,FALSE),0)+IFERROR($I619*VLOOKUP($H619,食材表!$A:G,7,FALSE),0)+IFERROR($K617*VLOOKUP($J617,食材表!$A:G,7,FALSE),0)+IFERROR($K618*VLOOKUP($J618,食材表!$A:G,7,FALSE),0)+IFERROR($K619*VLOOKUP($J619,食材表!$A:G,7,FALSE),0)</f>
        <v>0</v>
      </c>
      <c r="Q617" s="342">
        <f>IFERROR($I617*VLOOKUP($H617,食材表!$A:H,8,FALSE),0)+IFERROR($I618*VLOOKUP($H618,食材表!$A:H,8,FALSE),0)+IFERROR($I619*VLOOKUP($H619,食材表!$A:H,8,FALSE),0)+IFERROR($K617*VLOOKUP($J617,食材表!$A:H,8,FALSE),0)+IFERROR($K618*VLOOKUP($J618,食材表!$A:H,8,FALSE),0)+IFERROR($K619*VLOOKUP($J619,食材表!$A:H,8,FALSE),0)</f>
        <v>0</v>
      </c>
      <c r="R617" s="342">
        <f>IFERROR($I617*VLOOKUP($H617,食材表!$A:I,9,FALSE),0)+IFERROR($I618*VLOOKUP($H618,食材表!$A:I,9,FALSE),0)+IFERROR($I619*VLOOKUP($H619,食材表!$A:I,9,FALSE),0)+IFERROR($K617*VLOOKUP($J617,食材表!$A:I,9,FALSE),0)+IFERROR($K618*VLOOKUP($J618,食材表!$A:I,9,FALSE),0)+IFERROR($K619*VLOOKUP($J619,食材表!$A:I,9,FALSE),0)</f>
        <v>0</v>
      </c>
      <c r="S617" s="342">
        <f t="shared" ref="S617" si="452">SUM(L617*70+M617*75+N617*120+O617*25+P617*60+Q617*45+R617*4)</f>
        <v>0</v>
      </c>
    </row>
    <row r="618" spans="1:19">
      <c r="A618" s="33" t="str">
        <f t="shared" ref="A618" si="453">"2"&amp;+$B617</f>
        <v>2</v>
      </c>
      <c r="B618"/>
      <c r="C618"/>
      <c r="D618"/>
      <c r="E618"/>
      <c r="F618"/>
      <c r="G618" s="353"/>
      <c r="H618" s="93">
        <f t="shared" si="420"/>
        <v>0</v>
      </c>
      <c r="I618" s="86" t="str">
        <f>IFERROR(IF(LEN(D618)=LENB(D618),ROUND(LEFT(D618,2*LEN(D618)-LENB(D618))/$A$1,3),((ROUND(LEFT(D618,2*LEN(D618)-LENB(D618))/$A$1,3))*VLOOKUP(H618,食材表!$A:$B,2,FALSE))),"")</f>
        <v/>
      </c>
      <c r="J618" s="93">
        <f t="shared" si="421"/>
        <v>0</v>
      </c>
      <c r="K618" s="86" t="str">
        <f>IFERROR(IF(LEN(F618)=LENB(F618),ROUND(LEFT(F618,2*LEN(F618)-LENB(F618))/$A$1,3),((ROUND(LEFT(F618,2*LEN(F618)-LENB(F618))/$A$1,3))*VLOOKUP(J618,食材表!$A:$B,2,FALSE))),"")</f>
        <v/>
      </c>
      <c r="L618" s="343"/>
      <c r="M618" s="343"/>
      <c r="N618" s="343"/>
      <c r="O618" s="343"/>
      <c r="P618" s="343"/>
      <c r="Q618" s="343"/>
      <c r="R618" s="343"/>
      <c r="S618" s="343"/>
    </row>
    <row r="619" spans="1:19">
      <c r="A619"/>
      <c r="B619"/>
      <c r="C619"/>
      <c r="D619"/>
      <c r="E619"/>
      <c r="F619"/>
      <c r="G619" s="354"/>
      <c r="H619" s="92">
        <f t="shared" si="420"/>
        <v>0</v>
      </c>
      <c r="I619" s="84" t="str">
        <f>IFERROR(IF(LEN(D619)=LENB(D619),ROUND(LEFT(D619,2*LEN(D619)-LENB(D619))/$A$1,3),((ROUND(LEFT(D619,2*LEN(D619)-LENB(D619))/$A$1,3))*VLOOKUP(H619,食材表!$A:$B,2,FALSE))),"")</f>
        <v/>
      </c>
      <c r="J619" s="92">
        <f t="shared" si="421"/>
        <v>0</v>
      </c>
      <c r="K619" s="85" t="str">
        <f>IFERROR(IF(LEN(F619)=LENB(F619),ROUND(LEFT(F619,2*LEN(F619)-LENB(F619))/$A$1,3),((ROUND(LEFT(F619,2*LEN(F619)-LENB(F619))/$A$1,3))*VLOOKUP(J619,食材表!$A:$B,2,FALSE))),"")</f>
        <v/>
      </c>
      <c r="L619" s="344"/>
      <c r="M619" s="344"/>
      <c r="N619" s="344"/>
      <c r="O619" s="344"/>
      <c r="P619" s="344"/>
      <c r="Q619" s="344"/>
      <c r="R619" s="344"/>
      <c r="S619" s="344"/>
    </row>
    <row r="620" spans="1:19">
      <c r="A620"/>
      <c r="B620"/>
      <c r="C620"/>
      <c r="D620"/>
      <c r="E620"/>
      <c r="F620"/>
      <c r="G620" s="352">
        <f t="shared" ref="G620" si="454">B620</f>
        <v>0</v>
      </c>
      <c r="H620" s="91">
        <f t="shared" si="420"/>
        <v>0</v>
      </c>
      <c r="I620" s="83" t="str">
        <f>IFERROR(IF(LEN(D620)=LENB(D620),ROUND(LEFT(D620,2*LEN(D620)-LENB(D620))/$A$1,3),((ROUND(LEFT(D620,2*LEN(D620)-LENB(D620))/$A$1,3))*VLOOKUP(H620,食材表!$A:$B,2,FALSE))),"")</f>
        <v/>
      </c>
      <c r="J620" s="91">
        <f t="shared" si="421"/>
        <v>0</v>
      </c>
      <c r="K620" s="83" t="str">
        <f>IFERROR(IF(LEN(F620)=LENB(F620),ROUND(LEFT(F620,2*LEN(F620)-LENB(F620))/$A$1,3),((ROUND(LEFT(F620,2*LEN(F620)-LENB(F620))/$A$1,3))*VLOOKUP(J620,食材表!$A:$B,2,FALSE))),"")</f>
        <v/>
      </c>
      <c r="L620" s="342">
        <f>IFERROR($I620*VLOOKUP($H620,食材表!$A:C,3,FALSE),0)+IFERROR($I621*VLOOKUP($H621,食材表!$A:C,3,FALSE),0)+IFERROR($I622*VLOOKUP($H622,食材表!$A:C,3,FALSE),0)+IFERROR($K620*VLOOKUP($J620,食材表!$A:C,3,FALSE),0)+IFERROR($K621*VLOOKUP($J621,食材表!$A:C,3,FALSE),0)+IFERROR($K622*VLOOKUP($J622,食材表!$A:C,3,FALSE),0)</f>
        <v>0</v>
      </c>
      <c r="M620" s="342">
        <f>IFERROR($I620*VLOOKUP($H620,食材表!$A:D,4,FALSE),0)+IFERROR($I621*VLOOKUP($H621,食材表!$A:D,4,FALSE),0)+IFERROR($I622*VLOOKUP($H622,食材表!$A:D,4,FALSE),0)+IFERROR($K620*VLOOKUP($J620,食材表!$A:D,4,FALSE),0)+IFERROR($K621*VLOOKUP($J621,食材表!$A:D,4,FALSE),0)+IFERROR($K622*VLOOKUP($J622,食材表!$A:D,4,FALSE),0)</f>
        <v>0</v>
      </c>
      <c r="N620" s="342">
        <f>IFERROR($I620*VLOOKUP($H620,食材表!$A:E,5,FALSE),0)+IFERROR($I621*VLOOKUP($H621,食材表!$A:E,5,FALSE),0)+IFERROR($I622*VLOOKUP($H622,食材表!$A:E,5,FALSE),0)+IFERROR($K620*VLOOKUP($J620,食材表!$A:E,5,FALSE),0)+IFERROR($K621*VLOOKUP($J621,食材表!$A:E,5,FALSE),0)+IFERROR($K622*VLOOKUP($J622,食材表!$A:E,5,FALSE),0)</f>
        <v>0</v>
      </c>
      <c r="O620" s="342">
        <f>IFERROR($I620*VLOOKUP($H620,食材表!$A:F,6,FALSE),0)+IFERROR($I621*VLOOKUP($H621,食材表!$A:F,6,FALSE),0)+IFERROR($I622*VLOOKUP($H622,食材表!$A:F,6,FALSE),0)+IFERROR($K620*VLOOKUP($J620,食材表!$A:F,6,FALSE),0)+IFERROR($K621*VLOOKUP($J621,食材表!$A:F,6,FALSE),0)+IFERROR($K622*VLOOKUP($J622,食材表!$A:F,6,FALSE),0)</f>
        <v>0</v>
      </c>
      <c r="P620" s="342">
        <f>IFERROR($I620*VLOOKUP($H620,食材表!$A:G,7,FALSE),0)+IFERROR($I621*VLOOKUP($H621,食材表!$A:G,7,FALSE),0)+IFERROR($I622*VLOOKUP($H622,食材表!$A:G,7,FALSE),0)+IFERROR($K620*VLOOKUP($J620,食材表!$A:G,7,FALSE),0)+IFERROR($K621*VLOOKUP($J621,食材表!$A:G,7,FALSE),0)+IFERROR($K622*VLOOKUP($J622,食材表!$A:G,7,FALSE),0)</f>
        <v>0</v>
      </c>
      <c r="Q620" s="342">
        <f>IFERROR($I620*VLOOKUP($H620,食材表!$A:H,8,FALSE),0)+IFERROR($I621*VLOOKUP($H621,食材表!$A:H,8,FALSE),0)+IFERROR($I622*VLOOKUP($H622,食材表!$A:H,8,FALSE),0)+IFERROR($K620*VLOOKUP($J620,食材表!$A:H,8,FALSE),0)+IFERROR($K621*VLOOKUP($J621,食材表!$A:H,8,FALSE),0)+IFERROR($K622*VLOOKUP($J622,食材表!$A:H,8,FALSE),0)</f>
        <v>0</v>
      </c>
      <c r="R620" s="342">
        <f>IFERROR($I620*VLOOKUP($H620,食材表!$A:I,9,FALSE),0)+IFERROR($I621*VLOOKUP($H621,食材表!$A:I,9,FALSE),0)+IFERROR($I622*VLOOKUP($H622,食材表!$A:I,9,FALSE),0)+IFERROR($K620*VLOOKUP($J620,食材表!$A:I,9,FALSE),0)+IFERROR($K621*VLOOKUP($J621,食材表!$A:I,9,FALSE),0)+IFERROR($K622*VLOOKUP($J622,食材表!$A:I,9,FALSE),0)</f>
        <v>0</v>
      </c>
      <c r="S620" s="342">
        <f t="shared" ref="S620" si="455">SUM(L620*70+M620*75+N620*120+O620*25+P620*60+Q620*45+R620*4)</f>
        <v>0</v>
      </c>
    </row>
    <row r="621" spans="1:19">
      <c r="A621"/>
      <c r="B621"/>
      <c r="C621"/>
      <c r="D621"/>
      <c r="E621"/>
      <c r="F621"/>
      <c r="G621" s="353"/>
      <c r="H621" s="93">
        <f t="shared" si="420"/>
        <v>0</v>
      </c>
      <c r="I621" s="86" t="str">
        <f>IFERROR(IF(LEN(D621)=LENB(D621),ROUND(LEFT(D621,2*LEN(D621)-LENB(D621))/$A$1,3),((ROUND(LEFT(D621,2*LEN(D621)-LENB(D621))/$A$1,3))*VLOOKUP(H621,食材表!$A:$B,2,FALSE))),"")</f>
        <v/>
      </c>
      <c r="J621" s="93">
        <f t="shared" si="421"/>
        <v>0</v>
      </c>
      <c r="K621" s="86" t="str">
        <f>IFERROR(IF(LEN(F621)=LENB(F621),ROUND(LEFT(F621,2*LEN(F621)-LENB(F621))/$A$1,3),((ROUND(LEFT(F621,2*LEN(F621)-LENB(F621))/$A$1,3))*VLOOKUP(J621,食材表!$A:$B,2,FALSE))),"")</f>
        <v/>
      </c>
      <c r="L621" s="343"/>
      <c r="M621" s="343"/>
      <c r="N621" s="343"/>
      <c r="O621" s="343"/>
      <c r="P621" s="343"/>
      <c r="Q621" s="343"/>
      <c r="R621" s="343"/>
      <c r="S621" s="343"/>
    </row>
    <row r="622" spans="1:19">
      <c r="A622"/>
      <c r="B622"/>
      <c r="C622"/>
      <c r="D622"/>
      <c r="E622"/>
      <c r="F622"/>
      <c r="G622" s="354"/>
      <c r="H622" s="92">
        <f t="shared" si="420"/>
        <v>0</v>
      </c>
      <c r="I622" s="84" t="str">
        <f>IFERROR(IF(LEN(D622)=LENB(D622),ROUND(LEFT(D622,2*LEN(D622)-LENB(D622))/$A$1,3),((ROUND(LEFT(D622,2*LEN(D622)-LENB(D622))/$A$1,3))*VLOOKUP(H622,食材表!$A:$B,2,FALSE))),"")</f>
        <v/>
      </c>
      <c r="J622" s="92">
        <f t="shared" si="421"/>
        <v>0</v>
      </c>
      <c r="K622" s="85" t="str">
        <f>IFERROR(IF(LEN(F622)=LENB(F622),ROUND(LEFT(F622,2*LEN(F622)-LENB(F622))/$A$1,3),((ROUND(LEFT(F622,2*LEN(F622)-LENB(F622))/$A$1,3))*VLOOKUP(J622,食材表!$A:$B,2,FALSE))),"")</f>
        <v/>
      </c>
      <c r="L622" s="344"/>
      <c r="M622" s="344"/>
      <c r="N622" s="344"/>
      <c r="O622" s="344"/>
      <c r="P622" s="344"/>
      <c r="Q622" s="344"/>
      <c r="R622" s="344"/>
      <c r="S622" s="344"/>
    </row>
  </sheetData>
  <mergeCells count="2065">
    <mergeCell ref="G173:G175"/>
    <mergeCell ref="L185:L187"/>
    <mergeCell ref="M185:M187"/>
    <mergeCell ref="N185:N187"/>
    <mergeCell ref="O185:O187"/>
    <mergeCell ref="P185:P187"/>
    <mergeCell ref="Q185:Q187"/>
    <mergeCell ref="R185:R187"/>
    <mergeCell ref="M221:M223"/>
    <mergeCell ref="N221:N223"/>
    <mergeCell ref="O221:O223"/>
    <mergeCell ref="P221:P223"/>
    <mergeCell ref="Q221:Q223"/>
    <mergeCell ref="R221:R223"/>
    <mergeCell ref="S221:S223"/>
    <mergeCell ref="L194:L196"/>
    <mergeCell ref="M194:M196"/>
    <mergeCell ref="G182:G184"/>
    <mergeCell ref="L182:L184"/>
    <mergeCell ref="G176:G178"/>
    <mergeCell ref="L176:L178"/>
    <mergeCell ref="G188:G190"/>
    <mergeCell ref="L188:L190"/>
    <mergeCell ref="G200:G202"/>
    <mergeCell ref="L200:L202"/>
    <mergeCell ref="N188:N190"/>
    <mergeCell ref="O188:O190"/>
    <mergeCell ref="P188:P190"/>
    <mergeCell ref="Q188:Q190"/>
    <mergeCell ref="R188:R190"/>
    <mergeCell ref="S188:S190"/>
    <mergeCell ref="S182:S184"/>
    <mergeCell ref="B98:B100"/>
    <mergeCell ref="G98:G100"/>
    <mergeCell ref="L98:L100"/>
    <mergeCell ref="M98:M100"/>
    <mergeCell ref="N98:N100"/>
    <mergeCell ref="O98:O100"/>
    <mergeCell ref="P98:P100"/>
    <mergeCell ref="Q98:Q100"/>
    <mergeCell ref="R98:R100"/>
    <mergeCell ref="S98:S100"/>
    <mergeCell ref="G74:G76"/>
    <mergeCell ref="L74:L76"/>
    <mergeCell ref="M74:M76"/>
    <mergeCell ref="N74:N76"/>
    <mergeCell ref="O74:O76"/>
    <mergeCell ref="P74:P76"/>
    <mergeCell ref="Q74:Q76"/>
    <mergeCell ref="R74:R76"/>
    <mergeCell ref="S74:S76"/>
    <mergeCell ref="G77:G79"/>
    <mergeCell ref="L77:L79"/>
    <mergeCell ref="M77:M79"/>
    <mergeCell ref="G89:G91"/>
    <mergeCell ref="N77:N79"/>
    <mergeCell ref="O77:O79"/>
    <mergeCell ref="P77:P79"/>
    <mergeCell ref="Q77:Q79"/>
    <mergeCell ref="R77:R79"/>
    <mergeCell ref="S77:S79"/>
    <mergeCell ref="G83:G85"/>
    <mergeCell ref="M83:M85"/>
    <mergeCell ref="N83:N85"/>
    <mergeCell ref="B587:B589"/>
    <mergeCell ref="G587:G589"/>
    <mergeCell ref="L587:L589"/>
    <mergeCell ref="M587:M589"/>
    <mergeCell ref="N587:N589"/>
    <mergeCell ref="O587:O589"/>
    <mergeCell ref="P587:P589"/>
    <mergeCell ref="Q587:Q589"/>
    <mergeCell ref="R587:R589"/>
    <mergeCell ref="S587:S589"/>
    <mergeCell ref="B569:B571"/>
    <mergeCell ref="G569:G571"/>
    <mergeCell ref="L569:L571"/>
    <mergeCell ref="M569:M571"/>
    <mergeCell ref="N569:N571"/>
    <mergeCell ref="O569:O571"/>
    <mergeCell ref="P569:P571"/>
    <mergeCell ref="Q569:Q571"/>
    <mergeCell ref="R569:R571"/>
    <mergeCell ref="S569:S571"/>
    <mergeCell ref="L578:L580"/>
    <mergeCell ref="Q578:Q580"/>
    <mergeCell ref="R578:R580"/>
    <mergeCell ref="S578:S580"/>
    <mergeCell ref="B581:B583"/>
    <mergeCell ref="B578:B580"/>
    <mergeCell ref="L581:L583"/>
    <mergeCell ref="M581:M583"/>
    <mergeCell ref="N581:N583"/>
    <mergeCell ref="O581:O583"/>
    <mergeCell ref="P581:P583"/>
    <mergeCell ref="Q581:Q583"/>
    <mergeCell ref="B497:B499"/>
    <mergeCell ref="G497:G499"/>
    <mergeCell ref="L497:L499"/>
    <mergeCell ref="M497:M499"/>
    <mergeCell ref="N497:N499"/>
    <mergeCell ref="O497:O499"/>
    <mergeCell ref="P497:P499"/>
    <mergeCell ref="Q497:Q499"/>
    <mergeCell ref="R497:R499"/>
    <mergeCell ref="S497:S499"/>
    <mergeCell ref="R431:R433"/>
    <mergeCell ref="S431:S433"/>
    <mergeCell ref="R446:R448"/>
    <mergeCell ref="S446:S448"/>
    <mergeCell ref="S377:S379"/>
    <mergeCell ref="R419:R421"/>
    <mergeCell ref="S419:S421"/>
    <mergeCell ref="O431:O433"/>
    <mergeCell ref="P431:P433"/>
    <mergeCell ref="R389:R391"/>
    <mergeCell ref="S389:S391"/>
    <mergeCell ref="G443:G445"/>
    <mergeCell ref="M377:M379"/>
    <mergeCell ref="N377:N379"/>
    <mergeCell ref="O377:O379"/>
    <mergeCell ref="P377:P379"/>
    <mergeCell ref="G404:G406"/>
    <mergeCell ref="L404:L406"/>
    <mergeCell ref="M404:M406"/>
    <mergeCell ref="N404:N406"/>
    <mergeCell ref="O404:O406"/>
    <mergeCell ref="G383:G385"/>
    <mergeCell ref="O14:O16"/>
    <mergeCell ref="P14:P16"/>
    <mergeCell ref="Q14:Q16"/>
    <mergeCell ref="R14:R16"/>
    <mergeCell ref="S14:S16"/>
    <mergeCell ref="N617:N619"/>
    <mergeCell ref="O617:O619"/>
    <mergeCell ref="P617:P619"/>
    <mergeCell ref="Q617:Q619"/>
    <mergeCell ref="G605:G607"/>
    <mergeCell ref="L605:L607"/>
    <mergeCell ref="M605:M607"/>
    <mergeCell ref="N605:N607"/>
    <mergeCell ref="O605:O607"/>
    <mergeCell ref="P605:P607"/>
    <mergeCell ref="Q605:Q607"/>
    <mergeCell ref="G134:G136"/>
    <mergeCell ref="L134:L136"/>
    <mergeCell ref="M134:M136"/>
    <mergeCell ref="N134:N136"/>
    <mergeCell ref="O134:O136"/>
    <mergeCell ref="P134:P136"/>
    <mergeCell ref="Q134:Q136"/>
    <mergeCell ref="Q431:Q433"/>
    <mergeCell ref="L566:L568"/>
    <mergeCell ref="N311:N313"/>
    <mergeCell ref="O311:O313"/>
    <mergeCell ref="P311:P313"/>
    <mergeCell ref="Q311:Q313"/>
    <mergeCell ref="R44:R46"/>
    <mergeCell ref="S44:S46"/>
    <mergeCell ref="P47:P49"/>
    <mergeCell ref="G620:G622"/>
    <mergeCell ref="L620:L622"/>
    <mergeCell ref="M620:M622"/>
    <mergeCell ref="N620:N622"/>
    <mergeCell ref="O620:O622"/>
    <mergeCell ref="P620:P622"/>
    <mergeCell ref="Q620:Q622"/>
    <mergeCell ref="R620:R622"/>
    <mergeCell ref="S620:S622"/>
    <mergeCell ref="G611:G613"/>
    <mergeCell ref="L611:L613"/>
    <mergeCell ref="M611:M613"/>
    <mergeCell ref="N611:N613"/>
    <mergeCell ref="O611:O613"/>
    <mergeCell ref="P611:P613"/>
    <mergeCell ref="Q611:Q613"/>
    <mergeCell ref="R611:R613"/>
    <mergeCell ref="S611:S613"/>
    <mergeCell ref="G614:G616"/>
    <mergeCell ref="L614:L616"/>
    <mergeCell ref="M614:M616"/>
    <mergeCell ref="N614:N616"/>
    <mergeCell ref="O614:O616"/>
    <mergeCell ref="P614:P616"/>
    <mergeCell ref="Q614:Q616"/>
    <mergeCell ref="R614:R616"/>
    <mergeCell ref="S614:S616"/>
    <mergeCell ref="G617:G619"/>
    <mergeCell ref="L617:L619"/>
    <mergeCell ref="M617:M619"/>
    <mergeCell ref="R617:R619"/>
    <mergeCell ref="S617:S619"/>
    <mergeCell ref="G599:G601"/>
    <mergeCell ref="L599:L601"/>
    <mergeCell ref="M599:M601"/>
    <mergeCell ref="N599:N601"/>
    <mergeCell ref="O599:O601"/>
    <mergeCell ref="P599:P601"/>
    <mergeCell ref="Q599:Q601"/>
    <mergeCell ref="R599:R601"/>
    <mergeCell ref="S599:S601"/>
    <mergeCell ref="G602:G604"/>
    <mergeCell ref="L602:L604"/>
    <mergeCell ref="M602:M604"/>
    <mergeCell ref="N602:N604"/>
    <mergeCell ref="O602:O604"/>
    <mergeCell ref="P602:P604"/>
    <mergeCell ref="Q602:Q604"/>
    <mergeCell ref="R602:R604"/>
    <mergeCell ref="S602:S604"/>
    <mergeCell ref="G551:G553"/>
    <mergeCell ref="G530:G532"/>
    <mergeCell ref="G536:G538"/>
    <mergeCell ref="G332:G334"/>
    <mergeCell ref="P500:P502"/>
    <mergeCell ref="Q500:Q502"/>
    <mergeCell ref="Q476:Q478"/>
    <mergeCell ref="R605:R607"/>
    <mergeCell ref="S605:S607"/>
    <mergeCell ref="G608:G610"/>
    <mergeCell ref="L608:L610"/>
    <mergeCell ref="M608:M610"/>
    <mergeCell ref="N608:N610"/>
    <mergeCell ref="O608:O610"/>
    <mergeCell ref="P608:P610"/>
    <mergeCell ref="Q608:Q610"/>
    <mergeCell ref="R608:R610"/>
    <mergeCell ref="S608:S610"/>
    <mergeCell ref="G446:G448"/>
    <mergeCell ref="L446:L448"/>
    <mergeCell ref="M446:M448"/>
    <mergeCell ref="N446:N448"/>
    <mergeCell ref="O446:O448"/>
    <mergeCell ref="P446:P448"/>
    <mergeCell ref="Q446:Q448"/>
    <mergeCell ref="P419:P421"/>
    <mergeCell ref="Q419:Q421"/>
    <mergeCell ref="R485:R487"/>
    <mergeCell ref="R521:R523"/>
    <mergeCell ref="S509:S511"/>
    <mergeCell ref="S491:S493"/>
    <mergeCell ref="S563:S565"/>
    <mergeCell ref="G281:G283"/>
    <mergeCell ref="L281:L283"/>
    <mergeCell ref="G431:G433"/>
    <mergeCell ref="M293:M295"/>
    <mergeCell ref="N293:N295"/>
    <mergeCell ref="O293:O295"/>
    <mergeCell ref="P293:P295"/>
    <mergeCell ref="Q293:Q295"/>
    <mergeCell ref="Q269:Q271"/>
    <mergeCell ref="M383:M385"/>
    <mergeCell ref="N383:N385"/>
    <mergeCell ref="O383:O385"/>
    <mergeCell ref="Q389:Q391"/>
    <mergeCell ref="L323:L325"/>
    <mergeCell ref="M323:M325"/>
    <mergeCell ref="N392:N394"/>
    <mergeCell ref="P332:P334"/>
    <mergeCell ref="P365:P367"/>
    <mergeCell ref="Q398:Q400"/>
    <mergeCell ref="N410:N412"/>
    <mergeCell ref="O410:O412"/>
    <mergeCell ref="P410:P412"/>
    <mergeCell ref="Q410:Q412"/>
    <mergeCell ref="O425:O427"/>
    <mergeCell ref="G368:G370"/>
    <mergeCell ref="G314:G316"/>
    <mergeCell ref="L317:L319"/>
    <mergeCell ref="Q305:Q307"/>
    <mergeCell ref="O353:O355"/>
    <mergeCell ref="P353:P355"/>
    <mergeCell ref="Q353:Q355"/>
    <mergeCell ref="P305:P307"/>
    <mergeCell ref="Q521:Q523"/>
    <mergeCell ref="P536:P538"/>
    <mergeCell ref="L272:L274"/>
    <mergeCell ref="M272:M274"/>
    <mergeCell ref="N272:N274"/>
    <mergeCell ref="P347:P349"/>
    <mergeCell ref="M284:M286"/>
    <mergeCell ref="M464:M466"/>
    <mergeCell ref="N464:N466"/>
    <mergeCell ref="O464:O466"/>
    <mergeCell ref="P464:P466"/>
    <mergeCell ref="Q464:Q466"/>
    <mergeCell ref="M317:M319"/>
    <mergeCell ref="N317:N319"/>
    <mergeCell ref="O317:O319"/>
    <mergeCell ref="P317:P319"/>
    <mergeCell ref="Q317:Q319"/>
    <mergeCell ref="N290:N292"/>
    <mergeCell ref="M296:M298"/>
    <mergeCell ref="L506:L508"/>
    <mergeCell ref="L536:L538"/>
    <mergeCell ref="M536:M538"/>
    <mergeCell ref="N536:N538"/>
    <mergeCell ref="O536:O538"/>
    <mergeCell ref="Q458:Q460"/>
    <mergeCell ref="L275:L277"/>
    <mergeCell ref="L407:L409"/>
    <mergeCell ref="M407:M409"/>
    <mergeCell ref="N407:N409"/>
    <mergeCell ref="O407:O409"/>
    <mergeCell ref="P407:P409"/>
    <mergeCell ref="P560:P562"/>
    <mergeCell ref="Q560:Q562"/>
    <mergeCell ref="N257:N259"/>
    <mergeCell ref="O257:O259"/>
    <mergeCell ref="N500:N502"/>
    <mergeCell ref="N509:N511"/>
    <mergeCell ref="O509:O511"/>
    <mergeCell ref="R293:R295"/>
    <mergeCell ref="S293:S295"/>
    <mergeCell ref="R560:R562"/>
    <mergeCell ref="S560:S562"/>
    <mergeCell ref="N554:N556"/>
    <mergeCell ref="O554:O556"/>
    <mergeCell ref="S380:S382"/>
    <mergeCell ref="S413:S415"/>
    <mergeCell ref="O512:O514"/>
    <mergeCell ref="P512:P514"/>
    <mergeCell ref="Q512:Q514"/>
    <mergeCell ref="R512:R514"/>
    <mergeCell ref="S512:S514"/>
    <mergeCell ref="R509:R511"/>
    <mergeCell ref="Q467:Q469"/>
    <mergeCell ref="R554:R556"/>
    <mergeCell ref="S554:S556"/>
    <mergeCell ref="P425:P427"/>
    <mergeCell ref="R506:R508"/>
    <mergeCell ref="S536:S538"/>
    <mergeCell ref="S503:S505"/>
    <mergeCell ref="R524:R526"/>
    <mergeCell ref="S524:S526"/>
    <mergeCell ref="S275:S277"/>
    <mergeCell ref="R284:R286"/>
    <mergeCell ref="R464:R466"/>
    <mergeCell ref="S464:S466"/>
    <mergeCell ref="R533:R535"/>
    <mergeCell ref="S533:S535"/>
    <mergeCell ref="Q413:Q415"/>
    <mergeCell ref="R413:R415"/>
    <mergeCell ref="M254:M256"/>
    <mergeCell ref="N323:N325"/>
    <mergeCell ref="O323:O325"/>
    <mergeCell ref="P323:P325"/>
    <mergeCell ref="Q323:Q325"/>
    <mergeCell ref="Q434:Q436"/>
    <mergeCell ref="M374:M376"/>
    <mergeCell ref="Q371:Q373"/>
    <mergeCell ref="R371:R373"/>
    <mergeCell ref="S371:S373"/>
    <mergeCell ref="P281:P283"/>
    <mergeCell ref="Q281:Q283"/>
    <mergeCell ref="R281:R283"/>
    <mergeCell ref="S281:S283"/>
    <mergeCell ref="R311:R313"/>
    <mergeCell ref="S311:S313"/>
    <mergeCell ref="M533:M535"/>
    <mergeCell ref="M278:M280"/>
    <mergeCell ref="N278:N280"/>
    <mergeCell ref="O278:O280"/>
    <mergeCell ref="P278:P280"/>
    <mergeCell ref="Q278:Q280"/>
    <mergeCell ref="Q260:Q262"/>
    <mergeCell ref="Q395:Q397"/>
    <mergeCell ref="P485:P487"/>
    <mergeCell ref="Q485:Q487"/>
    <mergeCell ref="G554:G556"/>
    <mergeCell ref="L554:L556"/>
    <mergeCell ref="M560:M562"/>
    <mergeCell ref="N560:N562"/>
    <mergeCell ref="O560:O562"/>
    <mergeCell ref="P362:P364"/>
    <mergeCell ref="S356:S358"/>
    <mergeCell ref="L302:L304"/>
    <mergeCell ref="M302:M304"/>
    <mergeCell ref="G326:G328"/>
    <mergeCell ref="G338:G340"/>
    <mergeCell ref="G287:G289"/>
    <mergeCell ref="S545:S547"/>
    <mergeCell ref="N467:N469"/>
    <mergeCell ref="O467:O469"/>
    <mergeCell ref="P467:P469"/>
    <mergeCell ref="M566:M568"/>
    <mergeCell ref="N566:N568"/>
    <mergeCell ref="P509:P511"/>
    <mergeCell ref="Q530:Q532"/>
    <mergeCell ref="R530:R532"/>
    <mergeCell ref="S530:S532"/>
    <mergeCell ref="N521:N523"/>
    <mergeCell ref="O521:O523"/>
    <mergeCell ref="P521:P523"/>
    <mergeCell ref="O500:O502"/>
    <mergeCell ref="N533:N535"/>
    <mergeCell ref="S518:S520"/>
    <mergeCell ref="R536:R538"/>
    <mergeCell ref="P404:P406"/>
    <mergeCell ref="Q404:Q406"/>
    <mergeCell ref="R404:R406"/>
    <mergeCell ref="G560:G562"/>
    <mergeCell ref="L560:L562"/>
    <mergeCell ref="Q551:Q553"/>
    <mergeCell ref="R551:R553"/>
    <mergeCell ref="S551:S553"/>
    <mergeCell ref="Q440:Q442"/>
    <mergeCell ref="R440:R442"/>
    <mergeCell ref="S440:S442"/>
    <mergeCell ref="G452:G454"/>
    <mergeCell ref="R452:R454"/>
    <mergeCell ref="S452:S454"/>
    <mergeCell ref="G548:G550"/>
    <mergeCell ref="L548:L550"/>
    <mergeCell ref="M548:M550"/>
    <mergeCell ref="N548:N550"/>
    <mergeCell ref="O548:O550"/>
    <mergeCell ref="R527:R529"/>
    <mergeCell ref="S527:S529"/>
    <mergeCell ref="R545:R547"/>
    <mergeCell ref="G491:G493"/>
    <mergeCell ref="L512:L514"/>
    <mergeCell ref="M512:M514"/>
    <mergeCell ref="L530:L532"/>
    <mergeCell ref="M530:M532"/>
    <mergeCell ref="R518:R520"/>
    <mergeCell ref="R548:R550"/>
    <mergeCell ref="S548:S550"/>
    <mergeCell ref="L464:L466"/>
    <mergeCell ref="G518:G520"/>
    <mergeCell ref="O455:O457"/>
    <mergeCell ref="P455:P457"/>
    <mergeCell ref="Q455:Q457"/>
    <mergeCell ref="G575:G577"/>
    <mergeCell ref="G506:G508"/>
    <mergeCell ref="G578:G580"/>
    <mergeCell ref="M554:M556"/>
    <mergeCell ref="N443:N445"/>
    <mergeCell ref="O443:O445"/>
    <mergeCell ref="P443:P445"/>
    <mergeCell ref="R539:R541"/>
    <mergeCell ref="S539:S541"/>
    <mergeCell ref="P548:P550"/>
    <mergeCell ref="N551:N553"/>
    <mergeCell ref="O551:O553"/>
    <mergeCell ref="P551:P553"/>
    <mergeCell ref="G539:G541"/>
    <mergeCell ref="M578:M580"/>
    <mergeCell ref="N578:N580"/>
    <mergeCell ref="O578:O580"/>
    <mergeCell ref="P554:P556"/>
    <mergeCell ref="G563:G565"/>
    <mergeCell ref="L563:L565"/>
    <mergeCell ref="L575:L577"/>
    <mergeCell ref="M575:M577"/>
    <mergeCell ref="N575:N577"/>
    <mergeCell ref="Q533:Q535"/>
    <mergeCell ref="M563:M565"/>
    <mergeCell ref="N563:N565"/>
    <mergeCell ref="G572:G574"/>
    <mergeCell ref="M545:M547"/>
    <mergeCell ref="N545:N547"/>
    <mergeCell ref="S506:S508"/>
    <mergeCell ref="N470:N472"/>
    <mergeCell ref="N458:N460"/>
    <mergeCell ref="G242:G244"/>
    <mergeCell ref="S368:S370"/>
    <mergeCell ref="M506:M508"/>
    <mergeCell ref="S254:S256"/>
    <mergeCell ref="S434:S436"/>
    <mergeCell ref="Q422:Q424"/>
    <mergeCell ref="R422:R424"/>
    <mergeCell ref="S422:S424"/>
    <mergeCell ref="L437:L439"/>
    <mergeCell ref="M437:M439"/>
    <mergeCell ref="S428:S430"/>
    <mergeCell ref="Q503:Q505"/>
    <mergeCell ref="R503:R505"/>
    <mergeCell ref="S407:S409"/>
    <mergeCell ref="R455:R457"/>
    <mergeCell ref="M455:M457"/>
    <mergeCell ref="O485:O487"/>
    <mergeCell ref="M410:M412"/>
    <mergeCell ref="R260:R262"/>
    <mergeCell ref="S260:S262"/>
    <mergeCell ref="G317:G319"/>
    <mergeCell ref="R359:R361"/>
    <mergeCell ref="S359:S361"/>
    <mergeCell ref="R383:R385"/>
    <mergeCell ref="P470:P472"/>
    <mergeCell ref="Q470:Q472"/>
    <mergeCell ref="R470:R472"/>
    <mergeCell ref="S470:S472"/>
    <mergeCell ref="L389:L391"/>
    <mergeCell ref="L431:L433"/>
    <mergeCell ref="M431:M433"/>
    <mergeCell ref="N431:N433"/>
    <mergeCell ref="G239:G241"/>
    <mergeCell ref="G413:G415"/>
    <mergeCell ref="G392:G394"/>
    <mergeCell ref="G374:G376"/>
    <mergeCell ref="N389:N391"/>
    <mergeCell ref="L383:L385"/>
    <mergeCell ref="N374:N376"/>
    <mergeCell ref="O374:O376"/>
    <mergeCell ref="P374:P376"/>
    <mergeCell ref="G395:G397"/>
    <mergeCell ref="L368:L370"/>
    <mergeCell ref="M368:M370"/>
    <mergeCell ref="N368:N370"/>
    <mergeCell ref="O368:O370"/>
    <mergeCell ref="P368:P370"/>
    <mergeCell ref="Q368:Q370"/>
    <mergeCell ref="R368:R370"/>
    <mergeCell ref="L392:L394"/>
    <mergeCell ref="L362:L364"/>
    <mergeCell ref="M362:M364"/>
    <mergeCell ref="M392:M394"/>
    <mergeCell ref="G347:G349"/>
    <mergeCell ref="R254:R256"/>
    <mergeCell ref="O347:O349"/>
    <mergeCell ref="O359:O361"/>
    <mergeCell ref="P359:P361"/>
    <mergeCell ref="P383:P385"/>
    <mergeCell ref="O320:O322"/>
    <mergeCell ref="P320:P322"/>
    <mergeCell ref="Q320:Q322"/>
    <mergeCell ref="R320:R322"/>
    <mergeCell ref="L296:L298"/>
    <mergeCell ref="G590:G592"/>
    <mergeCell ref="G515:G517"/>
    <mergeCell ref="G305:G307"/>
    <mergeCell ref="G407:G409"/>
    <mergeCell ref="G584:G586"/>
    <mergeCell ref="G581:G583"/>
    <mergeCell ref="G377:G379"/>
    <mergeCell ref="L377:L379"/>
    <mergeCell ref="G269:G271"/>
    <mergeCell ref="L269:L271"/>
    <mergeCell ref="M380:M382"/>
    <mergeCell ref="N380:N382"/>
    <mergeCell ref="M308:M310"/>
    <mergeCell ref="O341:O343"/>
    <mergeCell ref="P341:P343"/>
    <mergeCell ref="O275:O277"/>
    <mergeCell ref="P302:P304"/>
    <mergeCell ref="L329:L331"/>
    <mergeCell ref="G512:G514"/>
    <mergeCell ref="M521:M523"/>
    <mergeCell ref="L341:L343"/>
    <mergeCell ref="M341:M343"/>
    <mergeCell ref="P533:P535"/>
    <mergeCell ref="L527:L529"/>
    <mergeCell ref="L518:L520"/>
    <mergeCell ref="N518:N520"/>
    <mergeCell ref="O518:O520"/>
    <mergeCell ref="G419:G421"/>
    <mergeCell ref="L419:L421"/>
    <mergeCell ref="M419:M421"/>
    <mergeCell ref="G464:G466"/>
    <mergeCell ref="L503:L505"/>
    <mergeCell ref="B164:B166"/>
    <mergeCell ref="B431:B433"/>
    <mergeCell ref="B221:B223"/>
    <mergeCell ref="G494:G496"/>
    <mergeCell ref="L458:L460"/>
    <mergeCell ref="L380:L382"/>
    <mergeCell ref="L203:L205"/>
    <mergeCell ref="L443:L445"/>
    <mergeCell ref="G533:G535"/>
    <mergeCell ref="G485:G487"/>
    <mergeCell ref="L455:L457"/>
    <mergeCell ref="L479:L481"/>
    <mergeCell ref="G353:G355"/>
    <mergeCell ref="G479:G481"/>
    <mergeCell ref="P257:P259"/>
    <mergeCell ref="N419:N421"/>
    <mergeCell ref="O419:O421"/>
    <mergeCell ref="L314:L316"/>
    <mergeCell ref="L299:L301"/>
    <mergeCell ref="N314:N316"/>
    <mergeCell ref="O314:O316"/>
    <mergeCell ref="P413:P415"/>
    <mergeCell ref="L260:L262"/>
    <mergeCell ref="M260:M262"/>
    <mergeCell ref="N260:N262"/>
    <mergeCell ref="O260:O262"/>
    <mergeCell ref="P260:P262"/>
    <mergeCell ref="O269:O271"/>
    <mergeCell ref="P269:P271"/>
    <mergeCell ref="O239:O241"/>
    <mergeCell ref="L251:L253"/>
    <mergeCell ref="P242:P244"/>
    <mergeCell ref="B575:B577"/>
    <mergeCell ref="B515:B517"/>
    <mergeCell ref="B524:B526"/>
    <mergeCell ref="B392:B394"/>
    <mergeCell ref="B182:B184"/>
    <mergeCell ref="B368:B370"/>
    <mergeCell ref="B257:B259"/>
    <mergeCell ref="G137:G139"/>
    <mergeCell ref="G179:G181"/>
    <mergeCell ref="G155:G157"/>
    <mergeCell ref="L551:L553"/>
    <mergeCell ref="M551:M553"/>
    <mergeCell ref="B38:B40"/>
    <mergeCell ref="B41:B43"/>
    <mergeCell ref="B155:B157"/>
    <mergeCell ref="B395:B397"/>
    <mergeCell ref="B89:B91"/>
    <mergeCell ref="B173:B175"/>
    <mergeCell ref="B341:B343"/>
    <mergeCell ref="B212:B214"/>
    <mergeCell ref="B536:B538"/>
    <mergeCell ref="B50:B52"/>
    <mergeCell ref="G131:G133"/>
    <mergeCell ref="M389:M391"/>
    <mergeCell ref="M443:M445"/>
    <mergeCell ref="B311:B313"/>
    <mergeCell ref="M311:M313"/>
    <mergeCell ref="B44:B46"/>
    <mergeCell ref="B545:B547"/>
    <mergeCell ref="B248:B250"/>
    <mergeCell ref="B413:B415"/>
    <mergeCell ref="B125:B127"/>
    <mergeCell ref="G593:G595"/>
    <mergeCell ref="G197:G199"/>
    <mergeCell ref="G467:G469"/>
    <mergeCell ref="B590:B592"/>
    <mergeCell ref="G380:G382"/>
    <mergeCell ref="G566:G568"/>
    <mergeCell ref="G161:G163"/>
    <mergeCell ref="G302:G304"/>
    <mergeCell ref="B188:B190"/>
    <mergeCell ref="B242:B244"/>
    <mergeCell ref="B452:B454"/>
    <mergeCell ref="B458:B460"/>
    <mergeCell ref="B461:B463"/>
    <mergeCell ref="B548:B550"/>
    <mergeCell ref="B215:B217"/>
    <mergeCell ref="B251:B253"/>
    <mergeCell ref="B593:B595"/>
    <mergeCell ref="B260:B262"/>
    <mergeCell ref="B563:B565"/>
    <mergeCell ref="B377:B379"/>
    <mergeCell ref="B200:B202"/>
    <mergeCell ref="B464:B466"/>
    <mergeCell ref="B314:B316"/>
    <mergeCell ref="B317:B319"/>
    <mergeCell ref="B269:B271"/>
    <mergeCell ref="G545:G547"/>
    <mergeCell ref="G542:G544"/>
    <mergeCell ref="G164:G166"/>
    <mergeCell ref="B176:B178"/>
    <mergeCell ref="B551:B553"/>
    <mergeCell ref="B404:B406"/>
    <mergeCell ref="B374:B376"/>
    <mergeCell ref="B566:B568"/>
    <mergeCell ref="B281:B283"/>
    <mergeCell ref="B371:B373"/>
    <mergeCell ref="B80:B82"/>
    <mergeCell ref="B440:B442"/>
    <mergeCell ref="B347:B349"/>
    <mergeCell ref="B506:B508"/>
    <mergeCell ref="B131:B133"/>
    <mergeCell ref="B389:B391"/>
    <mergeCell ref="B443:B445"/>
    <mergeCell ref="B278:B280"/>
    <mergeCell ref="B554:B556"/>
    <mergeCell ref="B287:B289"/>
    <mergeCell ref="B344:B346"/>
    <mergeCell ref="B410:B412"/>
    <mergeCell ref="B236:B238"/>
    <mergeCell ref="B542:B544"/>
    <mergeCell ref="B494:B496"/>
    <mergeCell ref="B134:B136"/>
    <mergeCell ref="B359:B361"/>
    <mergeCell ref="B308:B310"/>
    <mergeCell ref="B194:B196"/>
    <mergeCell ref="B512:B514"/>
    <mergeCell ref="B167:B169"/>
    <mergeCell ref="B422:B424"/>
    <mergeCell ref="B227:B229"/>
    <mergeCell ref="B326:B328"/>
    <mergeCell ref="B488:B490"/>
    <mergeCell ref="B353:B355"/>
    <mergeCell ref="B365:B367"/>
    <mergeCell ref="B119:B121"/>
    <mergeCell ref="B560:B562"/>
    <mergeCell ref="B2:B4"/>
    <mergeCell ref="B428:B430"/>
    <mergeCell ref="B62:B64"/>
    <mergeCell ref="B5:B7"/>
    <mergeCell ref="B158:B160"/>
    <mergeCell ref="B299:B301"/>
    <mergeCell ref="B239:B241"/>
    <mergeCell ref="B584:B586"/>
    <mergeCell ref="B218:B220"/>
    <mergeCell ref="B356:B358"/>
    <mergeCell ref="B503:B505"/>
    <mergeCell ref="B305:B307"/>
    <mergeCell ref="B416:B418"/>
    <mergeCell ref="B521:B523"/>
    <mergeCell ref="B290:B292"/>
    <mergeCell ref="B92:B94"/>
    <mergeCell ref="B518:B520"/>
    <mergeCell ref="B209:B211"/>
    <mergeCell ref="B272:B274"/>
    <mergeCell ref="B332:B334"/>
    <mergeCell ref="B338:B340"/>
    <mergeCell ref="B203:B205"/>
    <mergeCell ref="B437:B439"/>
    <mergeCell ref="B572:B574"/>
    <mergeCell ref="B539:B541"/>
    <mergeCell ref="B74:B76"/>
    <mergeCell ref="B77:B79"/>
    <mergeCell ref="B71:B73"/>
    <mergeCell ref="B113:B115"/>
    <mergeCell ref="B323:B325"/>
    <mergeCell ref="B329:B331"/>
    <mergeCell ref="B143:B145"/>
    <mergeCell ref="B8:B10"/>
    <mergeCell ref="B32:B34"/>
    <mergeCell ref="B17:B19"/>
    <mergeCell ref="B383:B385"/>
    <mergeCell ref="B185:B187"/>
    <mergeCell ref="G20:G22"/>
    <mergeCell ref="B335:B337"/>
    <mergeCell ref="G143:G145"/>
    <mergeCell ref="B419:B421"/>
    <mergeCell ref="B230:B232"/>
    <mergeCell ref="G212:G214"/>
    <mergeCell ref="G389:G391"/>
    <mergeCell ref="B14:B16"/>
    <mergeCell ref="G14:G16"/>
    <mergeCell ref="G44:G46"/>
    <mergeCell ref="B149:B151"/>
    <mergeCell ref="G149:G151"/>
    <mergeCell ref="G299:G301"/>
    <mergeCell ref="G371:G373"/>
    <mergeCell ref="G152:G154"/>
    <mergeCell ref="G218:G220"/>
    <mergeCell ref="G248:G250"/>
    <mergeCell ref="G341:G343"/>
    <mergeCell ref="G260:G262"/>
    <mergeCell ref="G278:G280"/>
    <mergeCell ref="B128:B130"/>
    <mergeCell ref="G128:G130"/>
    <mergeCell ref="B11:B13"/>
    <mergeCell ref="C11:C13"/>
    <mergeCell ref="G11:G13"/>
    <mergeCell ref="G50:G52"/>
    <mergeCell ref="G17:G19"/>
    <mergeCell ref="B20:B22"/>
    <mergeCell ref="B59:B61"/>
    <mergeCell ref="B197:B199"/>
    <mergeCell ref="B434:B436"/>
    <mergeCell ref="B47:B49"/>
    <mergeCell ref="B380:B382"/>
    <mergeCell ref="B68:B70"/>
    <mergeCell ref="G59:G61"/>
    <mergeCell ref="G158:G160"/>
    <mergeCell ref="G422:G424"/>
    <mergeCell ref="G323:G325"/>
    <mergeCell ref="G329:G331"/>
    <mergeCell ref="G335:G337"/>
    <mergeCell ref="G251:G253"/>
    <mergeCell ref="B293:B295"/>
    <mergeCell ref="G434:G436"/>
    <mergeCell ref="G458:G460"/>
    <mergeCell ref="G71:G73"/>
    <mergeCell ref="B191:B193"/>
    <mergeCell ref="B320:B322"/>
    <mergeCell ref="B275:B277"/>
    <mergeCell ref="B83:B85"/>
    <mergeCell ref="B137:B139"/>
    <mergeCell ref="G230:G232"/>
    <mergeCell ref="G209:G211"/>
    <mergeCell ref="G311:G313"/>
    <mergeCell ref="G293:G295"/>
    <mergeCell ref="G416:G418"/>
    <mergeCell ref="G428:G430"/>
    <mergeCell ref="G290:G292"/>
    <mergeCell ref="G359:G361"/>
    <mergeCell ref="G308:G310"/>
    <mergeCell ref="B29:B31"/>
    <mergeCell ref="B35:B37"/>
    <mergeCell ref="B254:B256"/>
    <mergeCell ref="B530:B532"/>
    <mergeCell ref="G62:G64"/>
    <mergeCell ref="G254:G256"/>
    <mergeCell ref="G80:G82"/>
    <mergeCell ref="G272:G274"/>
    <mergeCell ref="G503:G505"/>
    <mergeCell ref="G527:G529"/>
    <mergeCell ref="B152:B154"/>
    <mergeCell ref="B467:B469"/>
    <mergeCell ref="G41:G43"/>
    <mergeCell ref="P182:P184"/>
    <mergeCell ref="L371:L373"/>
    <mergeCell ref="M371:M373"/>
    <mergeCell ref="N371:N373"/>
    <mergeCell ref="G32:G34"/>
    <mergeCell ref="G38:G40"/>
    <mergeCell ref="G203:G205"/>
    <mergeCell ref="G356:G358"/>
    <mergeCell ref="G167:G169"/>
    <mergeCell ref="G500:G502"/>
    <mergeCell ref="B491:B493"/>
    <mergeCell ref="B455:B457"/>
    <mergeCell ref="B425:B427"/>
    <mergeCell ref="G470:G472"/>
    <mergeCell ref="L311:L313"/>
    <mergeCell ref="L293:L295"/>
    <mergeCell ref="G524:G526"/>
    <mergeCell ref="G521:G523"/>
    <mergeCell ref="G194:G196"/>
    <mergeCell ref="B407:B409"/>
    <mergeCell ref="Q257:Q259"/>
    <mergeCell ref="Q359:Q361"/>
    <mergeCell ref="Q539:Q541"/>
    <mergeCell ref="Q383:Q385"/>
    <mergeCell ref="M176:M178"/>
    <mergeCell ref="N176:N178"/>
    <mergeCell ref="O176:O178"/>
    <mergeCell ref="P176:P178"/>
    <mergeCell ref="Q176:Q178"/>
    <mergeCell ref="O389:O391"/>
    <mergeCell ref="P389:P391"/>
    <mergeCell ref="N422:N424"/>
    <mergeCell ref="L230:L232"/>
    <mergeCell ref="B533:B535"/>
    <mergeCell ref="B401:B403"/>
    <mergeCell ref="M503:M505"/>
    <mergeCell ref="N503:N505"/>
    <mergeCell ref="O503:O505"/>
    <mergeCell ref="P503:P505"/>
    <mergeCell ref="N512:N514"/>
    <mergeCell ref="G275:G277"/>
    <mergeCell ref="N326:N328"/>
    <mergeCell ref="O326:O328"/>
    <mergeCell ref="P326:P328"/>
    <mergeCell ref="O440:O442"/>
    <mergeCell ref="L332:L334"/>
    <mergeCell ref="M332:M334"/>
    <mergeCell ref="Q362:Q364"/>
    <mergeCell ref="O254:O256"/>
    <mergeCell ref="P254:P256"/>
    <mergeCell ref="Q254:Q256"/>
    <mergeCell ref="G170:G172"/>
    <mergeCell ref="N170:N172"/>
    <mergeCell ref="L158:L160"/>
    <mergeCell ref="M158:M160"/>
    <mergeCell ref="N158:N160"/>
    <mergeCell ref="L248:L250"/>
    <mergeCell ref="M242:M244"/>
    <mergeCell ref="G191:G193"/>
    <mergeCell ref="G320:G322"/>
    <mergeCell ref="G2:G4"/>
    <mergeCell ref="G5:G7"/>
    <mergeCell ref="L2:L4"/>
    <mergeCell ref="M2:M4"/>
    <mergeCell ref="B527:B529"/>
    <mergeCell ref="L170:L172"/>
    <mergeCell ref="M170:M172"/>
    <mergeCell ref="G47:G49"/>
    <mergeCell ref="L47:L49"/>
    <mergeCell ref="M47:M49"/>
    <mergeCell ref="G95:G97"/>
    <mergeCell ref="B470:B472"/>
    <mergeCell ref="B500:B502"/>
    <mergeCell ref="B140:B142"/>
    <mergeCell ref="M56:M58"/>
    <mergeCell ref="B509:B511"/>
    <mergeCell ref="G509:G511"/>
    <mergeCell ref="L509:L511"/>
    <mergeCell ref="M509:M511"/>
    <mergeCell ref="L59:L61"/>
    <mergeCell ref="M59:M61"/>
    <mergeCell ref="M470:M472"/>
    <mergeCell ref="M458:M460"/>
    <mergeCell ref="M113:M115"/>
    <mergeCell ref="N2:N4"/>
    <mergeCell ref="N332:N334"/>
    <mergeCell ref="M299:M301"/>
    <mergeCell ref="N299:N301"/>
    <mergeCell ref="L131:L133"/>
    <mergeCell ref="M131:M133"/>
    <mergeCell ref="O101:O103"/>
    <mergeCell ref="B179:B181"/>
    <mergeCell ref="M203:M205"/>
    <mergeCell ref="N203:N205"/>
    <mergeCell ref="L347:L349"/>
    <mergeCell ref="M347:M349"/>
    <mergeCell ref="N347:N349"/>
    <mergeCell ref="L422:L424"/>
    <mergeCell ref="M422:M424"/>
    <mergeCell ref="M248:M250"/>
    <mergeCell ref="N80:N82"/>
    <mergeCell ref="G101:G103"/>
    <mergeCell ref="L101:L103"/>
    <mergeCell ref="G125:G127"/>
    <mergeCell ref="G227:G229"/>
    <mergeCell ref="G185:G187"/>
    <mergeCell ref="G257:G259"/>
    <mergeCell ref="L257:L259"/>
    <mergeCell ref="M257:M259"/>
    <mergeCell ref="M182:M184"/>
    <mergeCell ref="N182:N184"/>
    <mergeCell ref="L374:L376"/>
    <mergeCell ref="G221:G223"/>
    <mergeCell ref="L221:L223"/>
    <mergeCell ref="M89:M91"/>
    <mergeCell ref="Q2:Q4"/>
    <mergeCell ref="R2:R4"/>
    <mergeCell ref="S2:S4"/>
    <mergeCell ref="L5:L7"/>
    <mergeCell ref="M5:M7"/>
    <mergeCell ref="N5:N7"/>
    <mergeCell ref="O5:O7"/>
    <mergeCell ref="P5:P7"/>
    <mergeCell ref="Q5:Q7"/>
    <mergeCell ref="R5:R7"/>
    <mergeCell ref="S5:S7"/>
    <mergeCell ref="L17:L19"/>
    <mergeCell ref="M17:M19"/>
    <mergeCell ref="N17:N19"/>
    <mergeCell ref="O17:O19"/>
    <mergeCell ref="P17:P19"/>
    <mergeCell ref="P38:P40"/>
    <mergeCell ref="P26:P28"/>
    <mergeCell ref="Q17:Q19"/>
    <mergeCell ref="Q29:Q31"/>
    <mergeCell ref="Q20:Q22"/>
    <mergeCell ref="R20:R22"/>
    <mergeCell ref="S20:S22"/>
    <mergeCell ref="P29:P31"/>
    <mergeCell ref="Q11:Q13"/>
    <mergeCell ref="R11:R13"/>
    <mergeCell ref="S11:S13"/>
    <mergeCell ref="O2:O4"/>
    <mergeCell ref="P2:P4"/>
    <mergeCell ref="L14:L16"/>
    <mergeCell ref="M14:M16"/>
    <mergeCell ref="N14:N16"/>
    <mergeCell ref="N41:N43"/>
    <mergeCell ref="R17:R19"/>
    <mergeCell ref="S17:S19"/>
    <mergeCell ref="L32:L34"/>
    <mergeCell ref="N125:N127"/>
    <mergeCell ref="B170:B172"/>
    <mergeCell ref="N59:N61"/>
    <mergeCell ref="R176:R178"/>
    <mergeCell ref="S176:S178"/>
    <mergeCell ref="R134:R136"/>
    <mergeCell ref="S134:S136"/>
    <mergeCell ref="M164:M166"/>
    <mergeCell ref="N164:N166"/>
    <mergeCell ref="O164:O166"/>
    <mergeCell ref="P164:P166"/>
    <mergeCell ref="Q164:Q166"/>
    <mergeCell ref="O155:O157"/>
    <mergeCell ref="P155:P157"/>
    <mergeCell ref="Q155:Q157"/>
    <mergeCell ref="P161:P163"/>
    <mergeCell ref="S71:S73"/>
    <mergeCell ref="O32:O34"/>
    <mergeCell ref="P32:P34"/>
    <mergeCell ref="L167:L169"/>
    <mergeCell ref="M167:M169"/>
    <mergeCell ref="N167:N169"/>
    <mergeCell ref="B161:B163"/>
    <mergeCell ref="N89:N91"/>
    <mergeCell ref="O89:O91"/>
    <mergeCell ref="O80:O82"/>
    <mergeCell ref="G113:G115"/>
    <mergeCell ref="L113:L115"/>
    <mergeCell ref="N38:N40"/>
    <mergeCell ref="O38:O40"/>
    <mergeCell ref="M101:M103"/>
    <mergeCell ref="N101:N103"/>
    <mergeCell ref="N131:N133"/>
    <mergeCell ref="P80:P82"/>
    <mergeCell ref="Q158:Q160"/>
    <mergeCell ref="Q32:Q34"/>
    <mergeCell ref="Q47:Q49"/>
    <mergeCell ref="Q92:Q94"/>
    <mergeCell ref="P140:P142"/>
    <mergeCell ref="N35:N37"/>
    <mergeCell ref="O35:O37"/>
    <mergeCell ref="L50:L52"/>
    <mergeCell ref="M50:M52"/>
    <mergeCell ref="N50:N52"/>
    <mergeCell ref="L44:L46"/>
    <mergeCell ref="M44:M46"/>
    <mergeCell ref="N44:N46"/>
    <mergeCell ref="O44:O46"/>
    <mergeCell ref="P44:P46"/>
    <mergeCell ref="O59:O61"/>
    <mergeCell ref="P59:P61"/>
    <mergeCell ref="Q59:Q61"/>
    <mergeCell ref="L125:L127"/>
    <mergeCell ref="M125:M127"/>
    <mergeCell ref="O125:O127"/>
    <mergeCell ref="P125:P127"/>
    <mergeCell ref="Q44:Q46"/>
    <mergeCell ref="N140:N142"/>
    <mergeCell ref="L41:L43"/>
    <mergeCell ref="M41:M43"/>
    <mergeCell ref="S29:S31"/>
    <mergeCell ref="Q38:Q40"/>
    <mergeCell ref="R38:R40"/>
    <mergeCell ref="S38:S40"/>
    <mergeCell ref="Q68:Q70"/>
    <mergeCell ref="R68:R70"/>
    <mergeCell ref="S68:S70"/>
    <mergeCell ref="P41:P43"/>
    <mergeCell ref="Q41:Q43"/>
    <mergeCell ref="R41:R43"/>
    <mergeCell ref="S41:S43"/>
    <mergeCell ref="O62:O64"/>
    <mergeCell ref="P62:P64"/>
    <mergeCell ref="Q62:Q64"/>
    <mergeCell ref="P68:P70"/>
    <mergeCell ref="O167:O169"/>
    <mergeCell ref="P167:P169"/>
    <mergeCell ref="R47:R49"/>
    <mergeCell ref="S47:S49"/>
    <mergeCell ref="R59:R61"/>
    <mergeCell ref="S59:S61"/>
    <mergeCell ref="P128:P130"/>
    <mergeCell ref="Q128:Q130"/>
    <mergeCell ref="R128:R130"/>
    <mergeCell ref="S128:S130"/>
    <mergeCell ref="O161:O163"/>
    <mergeCell ref="P137:P139"/>
    <mergeCell ref="Q137:Q139"/>
    <mergeCell ref="R137:R139"/>
    <mergeCell ref="S137:S139"/>
    <mergeCell ref="Q56:Q58"/>
    <mergeCell ref="R89:R91"/>
    <mergeCell ref="L137:L139"/>
    <mergeCell ref="M137:M139"/>
    <mergeCell ref="N137:N139"/>
    <mergeCell ref="O137:O139"/>
    <mergeCell ref="P197:P199"/>
    <mergeCell ref="Q197:Q199"/>
    <mergeCell ref="R197:R199"/>
    <mergeCell ref="O248:O250"/>
    <mergeCell ref="P248:P250"/>
    <mergeCell ref="S185:S187"/>
    <mergeCell ref="R230:R232"/>
    <mergeCell ref="S230:S232"/>
    <mergeCell ref="N155:N157"/>
    <mergeCell ref="P434:P436"/>
    <mergeCell ref="L209:L211"/>
    <mergeCell ref="M209:M211"/>
    <mergeCell ref="N209:N211"/>
    <mergeCell ref="O209:O211"/>
    <mergeCell ref="P209:P211"/>
    <mergeCell ref="R167:R169"/>
    <mergeCell ref="S167:S169"/>
    <mergeCell ref="L239:L241"/>
    <mergeCell ref="M239:M241"/>
    <mergeCell ref="N239:N241"/>
    <mergeCell ref="M425:M427"/>
    <mergeCell ref="N425:N427"/>
    <mergeCell ref="N365:N367"/>
    <mergeCell ref="L413:L415"/>
    <mergeCell ref="M413:M415"/>
    <mergeCell ref="O182:O184"/>
    <mergeCell ref="R257:R259"/>
    <mergeCell ref="Q329:Q331"/>
    <mergeCell ref="L593:L595"/>
    <mergeCell ref="M593:M595"/>
    <mergeCell ref="N593:N595"/>
    <mergeCell ref="O593:O595"/>
    <mergeCell ref="P593:P595"/>
    <mergeCell ref="Q593:Q595"/>
    <mergeCell ref="R593:R595"/>
    <mergeCell ref="S593:S595"/>
    <mergeCell ref="L428:L430"/>
    <mergeCell ref="M428:M430"/>
    <mergeCell ref="N428:N430"/>
    <mergeCell ref="O428:O430"/>
    <mergeCell ref="P428:P430"/>
    <mergeCell ref="Q437:Q439"/>
    <mergeCell ref="R437:R439"/>
    <mergeCell ref="S437:S439"/>
    <mergeCell ref="L212:L214"/>
    <mergeCell ref="M212:M214"/>
    <mergeCell ref="N212:N214"/>
    <mergeCell ref="O212:O214"/>
    <mergeCell ref="L572:L574"/>
    <mergeCell ref="M572:M574"/>
    <mergeCell ref="R395:R397"/>
    <mergeCell ref="S395:S397"/>
    <mergeCell ref="O470:O472"/>
    <mergeCell ref="O566:O568"/>
    <mergeCell ref="P566:P568"/>
    <mergeCell ref="Q566:Q568"/>
    <mergeCell ref="M230:M232"/>
    <mergeCell ref="N230:N232"/>
    <mergeCell ref="O230:O232"/>
    <mergeCell ref="P230:P232"/>
    <mergeCell ref="S299:S301"/>
    <mergeCell ref="S197:S199"/>
    <mergeCell ref="N308:N310"/>
    <mergeCell ref="O308:O310"/>
    <mergeCell ref="P308:P310"/>
    <mergeCell ref="Q308:Q310"/>
    <mergeCell ref="R308:R310"/>
    <mergeCell ref="S308:S310"/>
    <mergeCell ref="N197:N199"/>
    <mergeCell ref="R194:R196"/>
    <mergeCell ref="L161:L163"/>
    <mergeCell ref="S155:S157"/>
    <mergeCell ref="S257:S259"/>
    <mergeCell ref="N254:N256"/>
    <mergeCell ref="M155:M157"/>
    <mergeCell ref="R155:R157"/>
    <mergeCell ref="R158:R160"/>
    <mergeCell ref="S158:S160"/>
    <mergeCell ref="N194:N196"/>
    <mergeCell ref="O194:O196"/>
    <mergeCell ref="O158:O160"/>
    <mergeCell ref="O203:O205"/>
    <mergeCell ref="P203:P205"/>
    <mergeCell ref="Q203:Q205"/>
    <mergeCell ref="R203:R205"/>
    <mergeCell ref="S203:S205"/>
    <mergeCell ref="R164:R166"/>
    <mergeCell ref="S164:S166"/>
    <mergeCell ref="N242:N244"/>
    <mergeCell ref="O242:O244"/>
    <mergeCell ref="L278:L280"/>
    <mergeCell ref="L173:L175"/>
    <mergeCell ref="M173:M175"/>
    <mergeCell ref="M179:M181"/>
    <mergeCell ref="M218:M220"/>
    <mergeCell ref="S212:S214"/>
    <mergeCell ref="Q161:Q163"/>
    <mergeCell ref="Q212:Q214"/>
    <mergeCell ref="R212:R214"/>
    <mergeCell ref="P212:P214"/>
    <mergeCell ref="S194:S196"/>
    <mergeCell ref="M161:M163"/>
    <mergeCell ref="N161:N163"/>
    <mergeCell ref="O218:O220"/>
    <mergeCell ref="P179:P181"/>
    <mergeCell ref="Q179:Q181"/>
    <mergeCell ref="R179:R181"/>
    <mergeCell ref="O140:O142"/>
    <mergeCell ref="Q152:Q154"/>
    <mergeCell ref="R152:R154"/>
    <mergeCell ref="S152:S154"/>
    <mergeCell ref="L152:L154"/>
    <mergeCell ref="M152:M154"/>
    <mergeCell ref="N152:N154"/>
    <mergeCell ref="O152:O154"/>
    <mergeCell ref="P152:P154"/>
    <mergeCell ref="N191:N193"/>
    <mergeCell ref="N173:N175"/>
    <mergeCell ref="N179:N181"/>
    <mergeCell ref="N218:N220"/>
    <mergeCell ref="L140:L142"/>
    <mergeCell ref="L197:L199"/>
    <mergeCell ref="M146:M148"/>
    <mergeCell ref="M188:M190"/>
    <mergeCell ref="N248:N250"/>
    <mergeCell ref="R278:R280"/>
    <mergeCell ref="S278:S280"/>
    <mergeCell ref="Q230:Q232"/>
    <mergeCell ref="O290:O292"/>
    <mergeCell ref="P290:P292"/>
    <mergeCell ref="S290:S292"/>
    <mergeCell ref="M200:M202"/>
    <mergeCell ref="N200:N202"/>
    <mergeCell ref="O200:O202"/>
    <mergeCell ref="P200:P202"/>
    <mergeCell ref="Q200:Q202"/>
    <mergeCell ref="R200:R202"/>
    <mergeCell ref="S200:S202"/>
    <mergeCell ref="Q239:Q241"/>
    <mergeCell ref="R239:R241"/>
    <mergeCell ref="S239:S241"/>
    <mergeCell ref="Q506:Q508"/>
    <mergeCell ref="Q536:Q538"/>
    <mergeCell ref="O371:O373"/>
    <mergeCell ref="P371:P373"/>
    <mergeCell ref="P422:P424"/>
    <mergeCell ref="R425:R427"/>
    <mergeCell ref="S251:S253"/>
    <mergeCell ref="L254:L256"/>
    <mergeCell ref="R269:R271"/>
    <mergeCell ref="N302:N304"/>
    <mergeCell ref="O302:O304"/>
    <mergeCell ref="P251:P253"/>
    <mergeCell ref="S317:S319"/>
    <mergeCell ref="M314:M316"/>
    <mergeCell ref="M281:M283"/>
    <mergeCell ref="N281:N283"/>
    <mergeCell ref="O281:O283"/>
    <mergeCell ref="M329:M331"/>
    <mergeCell ref="N329:N331"/>
    <mergeCell ref="O329:O331"/>
    <mergeCell ref="Q272:Q274"/>
    <mergeCell ref="R272:R274"/>
    <mergeCell ref="S272:S274"/>
    <mergeCell ref="N440:N442"/>
    <mergeCell ref="O272:O274"/>
    <mergeCell ref="P272:P274"/>
    <mergeCell ref="Q299:Q301"/>
    <mergeCell ref="S284:S286"/>
    <mergeCell ref="Q287:Q289"/>
    <mergeCell ref="R287:R289"/>
    <mergeCell ref="S287:S289"/>
    <mergeCell ref="R299:R301"/>
    <mergeCell ref="R365:R367"/>
    <mergeCell ref="S365:S367"/>
    <mergeCell ref="O365:O367"/>
    <mergeCell ref="L416:L418"/>
    <mergeCell ref="M416:M418"/>
    <mergeCell ref="P416:P418"/>
    <mergeCell ref="S344:S346"/>
    <mergeCell ref="S383:S385"/>
    <mergeCell ref="Q443:Q445"/>
    <mergeCell ref="R443:R445"/>
    <mergeCell ref="S443:S445"/>
    <mergeCell ref="Q428:Q430"/>
    <mergeCell ref="R428:R430"/>
    <mergeCell ref="L434:L436"/>
    <mergeCell ref="L359:L361"/>
    <mergeCell ref="M359:M361"/>
    <mergeCell ref="N359:N361"/>
    <mergeCell ref="R362:R364"/>
    <mergeCell ref="S362:S364"/>
    <mergeCell ref="O434:O436"/>
    <mergeCell ref="O422:O424"/>
    <mergeCell ref="S404:S406"/>
    <mergeCell ref="L539:L541"/>
    <mergeCell ref="M539:M541"/>
    <mergeCell ref="N539:N541"/>
    <mergeCell ref="O539:O541"/>
    <mergeCell ref="L545:L547"/>
    <mergeCell ref="Q518:Q520"/>
    <mergeCell ref="O533:O535"/>
    <mergeCell ref="L470:L472"/>
    <mergeCell ref="Q527:Q529"/>
    <mergeCell ref="O506:O508"/>
    <mergeCell ref="P506:P508"/>
    <mergeCell ref="Q542:Q544"/>
    <mergeCell ref="M488:M490"/>
    <mergeCell ref="P518:P520"/>
    <mergeCell ref="L524:L526"/>
    <mergeCell ref="M524:M526"/>
    <mergeCell ref="N524:N526"/>
    <mergeCell ref="O524:O526"/>
    <mergeCell ref="P524:P526"/>
    <mergeCell ref="Q524:Q526"/>
    <mergeCell ref="N527:N529"/>
    <mergeCell ref="O527:O529"/>
    <mergeCell ref="Q509:Q511"/>
    <mergeCell ref="L533:L535"/>
    <mergeCell ref="P545:P547"/>
    <mergeCell ref="Q545:Q547"/>
    <mergeCell ref="P539:P541"/>
    <mergeCell ref="M527:M529"/>
    <mergeCell ref="L521:L523"/>
    <mergeCell ref="Q479:Q481"/>
    <mergeCell ref="L488:L490"/>
    <mergeCell ref="M518:M520"/>
    <mergeCell ref="R458:R460"/>
    <mergeCell ref="R581:R583"/>
    <mergeCell ref="P527:P529"/>
    <mergeCell ref="S581:S583"/>
    <mergeCell ref="N530:N532"/>
    <mergeCell ref="O530:O532"/>
    <mergeCell ref="P530:P532"/>
    <mergeCell ref="Q461:Q463"/>
    <mergeCell ref="N434:N436"/>
    <mergeCell ref="O461:O463"/>
    <mergeCell ref="P461:P463"/>
    <mergeCell ref="R566:R568"/>
    <mergeCell ref="S566:S568"/>
    <mergeCell ref="O563:O565"/>
    <mergeCell ref="P563:P565"/>
    <mergeCell ref="Q563:Q565"/>
    <mergeCell ref="R563:R565"/>
    <mergeCell ref="N572:N574"/>
    <mergeCell ref="O572:O574"/>
    <mergeCell ref="P572:P574"/>
    <mergeCell ref="Q572:Q574"/>
    <mergeCell ref="R572:R574"/>
    <mergeCell ref="S572:S574"/>
    <mergeCell ref="N506:N508"/>
    <mergeCell ref="N452:N454"/>
    <mergeCell ref="O452:O454"/>
    <mergeCell ref="P452:P454"/>
    <mergeCell ref="Q452:Q454"/>
    <mergeCell ref="N437:N439"/>
    <mergeCell ref="O437:O439"/>
    <mergeCell ref="P437:P439"/>
    <mergeCell ref="P578:P580"/>
    <mergeCell ref="L242:L244"/>
    <mergeCell ref="R251:R253"/>
    <mergeCell ref="Q590:Q592"/>
    <mergeCell ref="R590:R592"/>
    <mergeCell ref="S590:S592"/>
    <mergeCell ref="L515:L517"/>
    <mergeCell ref="M515:M517"/>
    <mergeCell ref="N515:N517"/>
    <mergeCell ref="O515:O517"/>
    <mergeCell ref="P515:P517"/>
    <mergeCell ref="Q515:Q517"/>
    <mergeCell ref="R515:R517"/>
    <mergeCell ref="S515:S517"/>
    <mergeCell ref="L590:L592"/>
    <mergeCell ref="M590:M592"/>
    <mergeCell ref="N590:N592"/>
    <mergeCell ref="O590:O592"/>
    <mergeCell ref="P590:P592"/>
    <mergeCell ref="L584:L586"/>
    <mergeCell ref="M584:M586"/>
    <mergeCell ref="N584:N586"/>
    <mergeCell ref="O584:O586"/>
    <mergeCell ref="P584:P586"/>
    <mergeCell ref="Q584:Q586"/>
    <mergeCell ref="R584:R586"/>
    <mergeCell ref="S584:S586"/>
    <mergeCell ref="R575:R577"/>
    <mergeCell ref="R461:R463"/>
    <mergeCell ref="O545:O547"/>
    <mergeCell ref="R500:R502"/>
    <mergeCell ref="S500:S502"/>
    <mergeCell ref="S575:S577"/>
    <mergeCell ref="O458:O460"/>
    <mergeCell ref="Q575:Q577"/>
    <mergeCell ref="Q554:Q556"/>
    <mergeCell ref="R467:R469"/>
    <mergeCell ref="S467:S469"/>
    <mergeCell ref="L440:L442"/>
    <mergeCell ref="M440:M442"/>
    <mergeCell ref="L395:L397"/>
    <mergeCell ref="M395:M397"/>
    <mergeCell ref="N395:N397"/>
    <mergeCell ref="P380:P382"/>
    <mergeCell ref="Q380:Q382"/>
    <mergeCell ref="R380:R382"/>
    <mergeCell ref="S425:S427"/>
    <mergeCell ref="O476:O478"/>
    <mergeCell ref="P476:P478"/>
    <mergeCell ref="S476:S478"/>
    <mergeCell ref="N491:N493"/>
    <mergeCell ref="O482:O484"/>
    <mergeCell ref="P482:P484"/>
    <mergeCell ref="Q482:Q484"/>
    <mergeCell ref="R482:R484"/>
    <mergeCell ref="S482:S484"/>
    <mergeCell ref="R473:R475"/>
    <mergeCell ref="S473:S475"/>
    <mergeCell ref="P542:P544"/>
    <mergeCell ref="S521:S523"/>
    <mergeCell ref="L500:L502"/>
    <mergeCell ref="M500:M502"/>
    <mergeCell ref="R479:R481"/>
    <mergeCell ref="Q392:Q394"/>
    <mergeCell ref="S479:S481"/>
    <mergeCell ref="O356:O358"/>
    <mergeCell ref="P356:P358"/>
    <mergeCell ref="M434:M436"/>
    <mergeCell ref="P440:P442"/>
    <mergeCell ref="O413:O415"/>
    <mergeCell ref="N362:N364"/>
    <mergeCell ref="O362:O364"/>
    <mergeCell ref="L365:L367"/>
    <mergeCell ref="N353:N355"/>
    <mergeCell ref="Q449:Q451"/>
    <mergeCell ref="L344:L346"/>
    <mergeCell ref="O416:O418"/>
    <mergeCell ref="S449:S451"/>
    <mergeCell ref="R401:R403"/>
    <mergeCell ref="S329:S331"/>
    <mergeCell ref="R356:R358"/>
    <mergeCell ref="R434:R436"/>
    <mergeCell ref="S401:S403"/>
    <mergeCell ref="P449:P451"/>
    <mergeCell ref="P395:P397"/>
    <mergeCell ref="S374:S376"/>
    <mergeCell ref="O344:O346"/>
    <mergeCell ref="P344:P346"/>
    <mergeCell ref="Q344:Q346"/>
    <mergeCell ref="Q338:Q340"/>
    <mergeCell ref="R344:R346"/>
    <mergeCell ref="R338:R340"/>
    <mergeCell ref="S338:S340"/>
    <mergeCell ref="N338:N340"/>
    <mergeCell ref="O338:O340"/>
    <mergeCell ref="P338:P340"/>
    <mergeCell ref="Q347:Q349"/>
    <mergeCell ref="S131:S133"/>
    <mergeCell ref="S227:S229"/>
    <mergeCell ref="P227:P229"/>
    <mergeCell ref="Q251:Q253"/>
    <mergeCell ref="R242:R244"/>
    <mergeCell ref="S242:S244"/>
    <mergeCell ref="P194:P196"/>
    <mergeCell ref="Q194:Q196"/>
    <mergeCell ref="O173:O175"/>
    <mergeCell ref="P173:P175"/>
    <mergeCell ref="S179:S181"/>
    <mergeCell ref="Q209:Q211"/>
    <mergeCell ref="P239:P241"/>
    <mergeCell ref="S140:S142"/>
    <mergeCell ref="O197:O199"/>
    <mergeCell ref="O179:O181"/>
    <mergeCell ref="Q167:Q169"/>
    <mergeCell ref="Q182:Q184"/>
    <mergeCell ref="R182:R184"/>
    <mergeCell ref="S248:S250"/>
    <mergeCell ref="P158:P160"/>
    <mergeCell ref="R218:R220"/>
    <mergeCell ref="S218:S220"/>
    <mergeCell ref="Q248:Q250"/>
    <mergeCell ref="R248:R250"/>
    <mergeCell ref="G29:G31"/>
    <mergeCell ref="L29:L31"/>
    <mergeCell ref="M29:M31"/>
    <mergeCell ref="N29:N31"/>
    <mergeCell ref="O29:O31"/>
    <mergeCell ref="P23:P25"/>
    <mergeCell ref="Q23:Q25"/>
    <mergeCell ref="R23:R25"/>
    <mergeCell ref="S23:S25"/>
    <mergeCell ref="M26:M28"/>
    <mergeCell ref="N26:N28"/>
    <mergeCell ref="O26:O28"/>
    <mergeCell ref="L80:L82"/>
    <mergeCell ref="M62:M64"/>
    <mergeCell ref="N62:N64"/>
    <mergeCell ref="M80:M82"/>
    <mergeCell ref="R62:R64"/>
    <mergeCell ref="S62:S64"/>
    <mergeCell ref="L62:L64"/>
    <mergeCell ref="L26:L28"/>
    <mergeCell ref="L38:L40"/>
    <mergeCell ref="M38:M40"/>
    <mergeCell ref="L35:L37"/>
    <mergeCell ref="M35:M37"/>
    <mergeCell ref="M32:M34"/>
    <mergeCell ref="N32:N34"/>
    <mergeCell ref="R32:R34"/>
    <mergeCell ref="S32:S34"/>
    <mergeCell ref="Q80:Q82"/>
    <mergeCell ref="R80:R82"/>
    <mergeCell ref="S80:S82"/>
    <mergeCell ref="R29:R31"/>
    <mergeCell ref="Q26:Q28"/>
    <mergeCell ref="P8:P10"/>
    <mergeCell ref="Q8:Q10"/>
    <mergeCell ref="R8:R10"/>
    <mergeCell ref="S8:S10"/>
    <mergeCell ref="L485:L487"/>
    <mergeCell ref="M485:M487"/>
    <mergeCell ref="N485:N487"/>
    <mergeCell ref="O401:O403"/>
    <mergeCell ref="P401:P403"/>
    <mergeCell ref="Q401:Q403"/>
    <mergeCell ref="O449:O451"/>
    <mergeCell ref="S302:S304"/>
    <mergeCell ref="L308:L310"/>
    <mergeCell ref="P314:P316"/>
    <mergeCell ref="Q314:Q316"/>
    <mergeCell ref="R314:R316"/>
    <mergeCell ref="S314:S316"/>
    <mergeCell ref="R317:R319"/>
    <mergeCell ref="N113:N115"/>
    <mergeCell ref="O191:O193"/>
    <mergeCell ref="P191:P193"/>
    <mergeCell ref="Q191:Q193"/>
    <mergeCell ref="R191:R193"/>
    <mergeCell ref="O251:O253"/>
    <mergeCell ref="L353:L355"/>
    <mergeCell ref="L320:L322"/>
    <mergeCell ref="M320:M322"/>
    <mergeCell ref="N320:N322"/>
    <mergeCell ref="Q332:Q334"/>
    <mergeCell ref="R332:R334"/>
    <mergeCell ref="L83:L85"/>
    <mergeCell ref="C8:C10"/>
    <mergeCell ref="G8:G10"/>
    <mergeCell ref="L8:L10"/>
    <mergeCell ref="M8:M10"/>
    <mergeCell ref="N8:N10"/>
    <mergeCell ref="O8:O10"/>
    <mergeCell ref="Q416:Q418"/>
    <mergeCell ref="R416:R418"/>
    <mergeCell ref="S416:S418"/>
    <mergeCell ref="Q35:Q37"/>
    <mergeCell ref="R35:R37"/>
    <mergeCell ref="S35:S37"/>
    <mergeCell ref="M206:M208"/>
    <mergeCell ref="N206:N208"/>
    <mergeCell ref="O206:O208"/>
    <mergeCell ref="P206:P208"/>
    <mergeCell ref="Q206:Q208"/>
    <mergeCell ref="R206:R208"/>
    <mergeCell ref="S206:S208"/>
    <mergeCell ref="N284:N286"/>
    <mergeCell ref="O284:O286"/>
    <mergeCell ref="P284:P286"/>
    <mergeCell ref="Q284:Q286"/>
    <mergeCell ref="M344:M346"/>
    <mergeCell ref="M251:M253"/>
    <mergeCell ref="N296:N298"/>
    <mergeCell ref="O296:O298"/>
    <mergeCell ref="P296:P298"/>
    <mergeCell ref="Q296:Q298"/>
    <mergeCell ref="L335:L337"/>
    <mergeCell ref="M335:M337"/>
    <mergeCell ref="N401:N403"/>
    <mergeCell ref="B206:B208"/>
    <mergeCell ref="G206:G208"/>
    <mergeCell ref="G476:G478"/>
    <mergeCell ref="L476:L478"/>
    <mergeCell ref="M476:M478"/>
    <mergeCell ref="N476:N478"/>
    <mergeCell ref="R410:R412"/>
    <mergeCell ref="S410:S412"/>
    <mergeCell ref="G398:G400"/>
    <mergeCell ref="L398:L400"/>
    <mergeCell ref="M398:M400"/>
    <mergeCell ref="N398:N400"/>
    <mergeCell ref="O398:O400"/>
    <mergeCell ref="N251:N253"/>
    <mergeCell ref="M275:M277"/>
    <mergeCell ref="N275:N277"/>
    <mergeCell ref="L290:L292"/>
    <mergeCell ref="S455:S457"/>
    <mergeCell ref="G455:G457"/>
    <mergeCell ref="N455:N457"/>
    <mergeCell ref="G425:G427"/>
    <mergeCell ref="R347:R349"/>
    <mergeCell ref="S347:S349"/>
    <mergeCell ref="M365:M367"/>
    <mergeCell ref="Q365:Q367"/>
    <mergeCell ref="Q407:Q409"/>
    <mergeCell ref="S353:S355"/>
    <mergeCell ref="O386:O388"/>
    <mergeCell ref="P386:P388"/>
    <mergeCell ref="Q386:Q388"/>
    <mergeCell ref="R386:R388"/>
    <mergeCell ref="S386:S388"/>
    <mergeCell ref="S92:S94"/>
    <mergeCell ref="L89:L91"/>
    <mergeCell ref="P89:P91"/>
    <mergeCell ref="N92:N94"/>
    <mergeCell ref="O92:O94"/>
    <mergeCell ref="M479:M481"/>
    <mergeCell ref="N479:N481"/>
    <mergeCell ref="O491:O493"/>
    <mergeCell ref="P491:P493"/>
    <mergeCell ref="Q491:Q493"/>
    <mergeCell ref="R491:R493"/>
    <mergeCell ref="L491:L493"/>
    <mergeCell ref="M491:M493"/>
    <mergeCell ref="Q425:Q427"/>
    <mergeCell ref="R407:R409"/>
    <mergeCell ref="L425:L427"/>
    <mergeCell ref="L287:L289"/>
    <mergeCell ref="M287:M289"/>
    <mergeCell ref="N287:N289"/>
    <mergeCell ref="O287:O289"/>
    <mergeCell ref="P287:P289"/>
    <mergeCell ref="R398:R400"/>
    <mergeCell ref="S398:S400"/>
    <mergeCell ref="S335:S337"/>
    <mergeCell ref="Q170:Q172"/>
    <mergeCell ref="R170:R172"/>
    <mergeCell ref="N344:N346"/>
    <mergeCell ref="L191:L193"/>
    <mergeCell ref="M191:M193"/>
    <mergeCell ref="S320:S322"/>
    <mergeCell ref="P275:P277"/>
    <mergeCell ref="Q275:Q277"/>
    <mergeCell ref="N146:N148"/>
    <mergeCell ref="Q143:Q145"/>
    <mergeCell ref="R143:R145"/>
    <mergeCell ref="Q242:Q244"/>
    <mergeCell ref="P299:P301"/>
    <mergeCell ref="O332:O334"/>
    <mergeCell ref="S332:S334"/>
    <mergeCell ref="O95:O97"/>
    <mergeCell ref="S173:S175"/>
    <mergeCell ref="L95:L97"/>
    <mergeCell ref="M95:M97"/>
    <mergeCell ref="N95:N97"/>
    <mergeCell ref="R161:R163"/>
    <mergeCell ref="S161:S163"/>
    <mergeCell ref="Q125:Q127"/>
    <mergeCell ref="R125:R127"/>
    <mergeCell ref="S125:S127"/>
    <mergeCell ref="R140:R142"/>
    <mergeCell ref="Q140:Q142"/>
    <mergeCell ref="S95:S97"/>
    <mergeCell ref="S101:S103"/>
    <mergeCell ref="R275:R277"/>
    <mergeCell ref="Q227:Q229"/>
    <mergeCell ref="R227:R229"/>
    <mergeCell ref="O131:O133"/>
    <mergeCell ref="L128:L130"/>
    <mergeCell ref="M128:M130"/>
    <mergeCell ref="N128:N130"/>
    <mergeCell ref="O128:O130"/>
    <mergeCell ref="P131:P133"/>
    <mergeCell ref="Q131:Q133"/>
    <mergeCell ref="R131:R133"/>
    <mergeCell ref="S461:S463"/>
    <mergeCell ref="R392:R394"/>
    <mergeCell ref="S392:S394"/>
    <mergeCell ref="O395:O397"/>
    <mergeCell ref="R476:R478"/>
    <mergeCell ref="R305:R307"/>
    <mergeCell ref="S269:S271"/>
    <mergeCell ref="M269:M271"/>
    <mergeCell ref="N269:N271"/>
    <mergeCell ref="S305:S307"/>
    <mergeCell ref="R377:R379"/>
    <mergeCell ref="Q374:Q376"/>
    <mergeCell ref="R374:R376"/>
    <mergeCell ref="L215:L217"/>
    <mergeCell ref="M215:M217"/>
    <mergeCell ref="N215:N217"/>
    <mergeCell ref="O215:O217"/>
    <mergeCell ref="O236:O238"/>
    <mergeCell ref="P236:P238"/>
    <mergeCell ref="M290:M292"/>
    <mergeCell ref="R329:R331"/>
    <mergeCell ref="S323:S325"/>
    <mergeCell ref="Q326:Q328"/>
    <mergeCell ref="R326:R328"/>
    <mergeCell ref="S326:S328"/>
    <mergeCell ref="N341:N343"/>
    <mergeCell ref="L338:L340"/>
    <mergeCell ref="M338:M340"/>
    <mergeCell ref="S458:S460"/>
    <mergeCell ref="L356:L358"/>
    <mergeCell ref="M356:M358"/>
    <mergeCell ref="N356:N358"/>
    <mergeCell ref="G140:G142"/>
    <mergeCell ref="M140:M142"/>
    <mergeCell ref="L146:L148"/>
    <mergeCell ref="O41:O43"/>
    <mergeCell ref="R56:R58"/>
    <mergeCell ref="S56:S58"/>
    <mergeCell ref="B233:B235"/>
    <mergeCell ref="G233:G235"/>
    <mergeCell ref="L233:L235"/>
    <mergeCell ref="M233:M235"/>
    <mergeCell ref="N233:N235"/>
    <mergeCell ref="O233:O235"/>
    <mergeCell ref="P233:P235"/>
    <mergeCell ref="Q233:Q235"/>
    <mergeCell ref="R233:R235"/>
    <mergeCell ref="S233:S235"/>
    <mergeCell ref="B56:B58"/>
    <mergeCell ref="R146:R148"/>
    <mergeCell ref="S146:S148"/>
    <mergeCell ref="S191:S193"/>
    <mergeCell ref="P218:P220"/>
    <mergeCell ref="Q218:Q220"/>
    <mergeCell ref="L227:L229"/>
    <mergeCell ref="N56:N58"/>
    <mergeCell ref="O56:O58"/>
    <mergeCell ref="P56:P58"/>
    <mergeCell ref="B101:B103"/>
    <mergeCell ref="B122:B124"/>
    <mergeCell ref="S65:S67"/>
    <mergeCell ref="B107:B109"/>
    <mergeCell ref="M107:M109"/>
    <mergeCell ref="O107:O109"/>
    <mergeCell ref="B476:B478"/>
    <mergeCell ref="B398:B400"/>
    <mergeCell ref="G437:G439"/>
    <mergeCell ref="Q377:Q379"/>
    <mergeCell ref="L305:L307"/>
    <mergeCell ref="M305:M307"/>
    <mergeCell ref="N305:N307"/>
    <mergeCell ref="O305:O307"/>
    <mergeCell ref="B302:B304"/>
    <mergeCell ref="B362:B364"/>
    <mergeCell ref="G362:G364"/>
    <mergeCell ref="G461:G463"/>
    <mergeCell ref="L461:L463"/>
    <mergeCell ref="M461:M463"/>
    <mergeCell ref="N461:N463"/>
    <mergeCell ref="G365:G367"/>
    <mergeCell ref="Q356:Q358"/>
    <mergeCell ref="B473:B475"/>
    <mergeCell ref="G473:G475"/>
    <mergeCell ref="L473:L475"/>
    <mergeCell ref="M473:M475"/>
    <mergeCell ref="N473:N475"/>
    <mergeCell ref="O473:O475"/>
    <mergeCell ref="P473:P475"/>
    <mergeCell ref="Q473:Q475"/>
    <mergeCell ref="N416:N418"/>
    <mergeCell ref="P398:P400"/>
    <mergeCell ref="M467:M469"/>
    <mergeCell ref="L467:L469"/>
    <mergeCell ref="L452:L454"/>
    <mergeCell ref="M452:M454"/>
    <mergeCell ref="P458:P460"/>
    <mergeCell ref="B23:B25"/>
    <mergeCell ref="G23:G25"/>
    <mergeCell ref="L23:L25"/>
    <mergeCell ref="M23:M25"/>
    <mergeCell ref="N23:N25"/>
    <mergeCell ref="O23:O25"/>
    <mergeCell ref="S119:S121"/>
    <mergeCell ref="G92:G94"/>
    <mergeCell ref="L92:L94"/>
    <mergeCell ref="Q236:Q238"/>
    <mergeCell ref="R236:R238"/>
    <mergeCell ref="S236:S238"/>
    <mergeCell ref="L143:L145"/>
    <mergeCell ref="M143:M145"/>
    <mergeCell ref="N143:N145"/>
    <mergeCell ref="B146:B148"/>
    <mergeCell ref="G146:G148"/>
    <mergeCell ref="S86:S88"/>
    <mergeCell ref="Q86:Q88"/>
    <mergeCell ref="M92:M94"/>
    <mergeCell ref="M119:M121"/>
    <mergeCell ref="N119:N121"/>
    <mergeCell ref="O119:O121"/>
    <mergeCell ref="O71:O73"/>
    <mergeCell ref="P71:P73"/>
    <mergeCell ref="Q71:Q73"/>
    <mergeCell ref="Q83:Q85"/>
    <mergeCell ref="S89:S91"/>
    <mergeCell ref="P92:P94"/>
    <mergeCell ref="L104:L106"/>
    <mergeCell ref="M104:M106"/>
    <mergeCell ref="N104:N106"/>
    <mergeCell ref="B26:B28"/>
    <mergeCell ref="G26:G28"/>
    <mergeCell ref="L236:L238"/>
    <mergeCell ref="M236:M238"/>
    <mergeCell ref="N236:N238"/>
    <mergeCell ref="G35:G37"/>
    <mergeCell ref="P35:P37"/>
    <mergeCell ref="B86:B88"/>
    <mergeCell ref="G86:G88"/>
    <mergeCell ref="L86:L88"/>
    <mergeCell ref="M86:M88"/>
    <mergeCell ref="P83:P85"/>
    <mergeCell ref="R26:R28"/>
    <mergeCell ref="S26:S28"/>
    <mergeCell ref="Q101:Q103"/>
    <mergeCell ref="R101:R103"/>
    <mergeCell ref="R209:R211"/>
    <mergeCell ref="S209:S211"/>
    <mergeCell ref="S143:S145"/>
    <mergeCell ref="Q215:Q217"/>
    <mergeCell ref="R215:R217"/>
    <mergeCell ref="S215:S217"/>
    <mergeCell ref="L206:L208"/>
    <mergeCell ref="N47:N49"/>
    <mergeCell ref="O47:O49"/>
    <mergeCell ref="S170:S172"/>
    <mergeCell ref="L179:L181"/>
    <mergeCell ref="L218:L220"/>
    <mergeCell ref="P104:P106"/>
    <mergeCell ref="S83:S85"/>
    <mergeCell ref="R224:R226"/>
    <mergeCell ref="S224:S226"/>
    <mergeCell ref="L11:L13"/>
    <mergeCell ref="M11:M13"/>
    <mergeCell ref="N11:N13"/>
    <mergeCell ref="O11:O13"/>
    <mergeCell ref="P11:P13"/>
    <mergeCell ref="O143:O145"/>
    <mergeCell ref="P143:P145"/>
    <mergeCell ref="O227:O229"/>
    <mergeCell ref="G104:G106"/>
    <mergeCell ref="M71:M73"/>
    <mergeCell ref="L71:L73"/>
    <mergeCell ref="P101:P103"/>
    <mergeCell ref="M227:M229"/>
    <mergeCell ref="N227:N229"/>
    <mergeCell ref="M353:M355"/>
    <mergeCell ref="L20:L22"/>
    <mergeCell ref="M20:M22"/>
    <mergeCell ref="N20:N22"/>
    <mergeCell ref="O20:O22"/>
    <mergeCell ref="P20:P22"/>
    <mergeCell ref="O170:O172"/>
    <mergeCell ref="P170:P172"/>
    <mergeCell ref="L164:L166"/>
    <mergeCell ref="L155:L157"/>
    <mergeCell ref="G56:G58"/>
    <mergeCell ref="L56:L58"/>
    <mergeCell ref="G68:G70"/>
    <mergeCell ref="G236:G238"/>
    <mergeCell ref="L149:L151"/>
    <mergeCell ref="M149:M151"/>
    <mergeCell ref="G107:G109"/>
    <mergeCell ref="L107:L109"/>
    <mergeCell ref="B245:B247"/>
    <mergeCell ref="G245:G247"/>
    <mergeCell ref="L245:L247"/>
    <mergeCell ref="M245:M247"/>
    <mergeCell ref="N245:N247"/>
    <mergeCell ref="O245:O247"/>
    <mergeCell ref="P245:P247"/>
    <mergeCell ref="Q245:Q247"/>
    <mergeCell ref="R323:R325"/>
    <mergeCell ref="L326:L328"/>
    <mergeCell ref="Q350:Q352"/>
    <mergeCell ref="R350:R352"/>
    <mergeCell ref="S485:S487"/>
    <mergeCell ref="B485:B487"/>
    <mergeCell ref="B482:B484"/>
    <mergeCell ref="B449:B451"/>
    <mergeCell ref="G449:G451"/>
    <mergeCell ref="L449:L451"/>
    <mergeCell ref="M449:M451"/>
    <mergeCell ref="N449:N451"/>
    <mergeCell ref="N335:N337"/>
    <mergeCell ref="O335:O337"/>
    <mergeCell ref="P335:P337"/>
    <mergeCell ref="Q335:Q337"/>
    <mergeCell ref="R335:R337"/>
    <mergeCell ref="Q290:Q292"/>
    <mergeCell ref="R290:R292"/>
    <mergeCell ref="R449:R451"/>
    <mergeCell ref="G482:G484"/>
    <mergeCell ref="L482:L484"/>
    <mergeCell ref="M482:M484"/>
    <mergeCell ref="N482:N484"/>
    <mergeCell ref="Q596:Q598"/>
    <mergeCell ref="R596:R598"/>
    <mergeCell ref="S596:S598"/>
    <mergeCell ref="P575:P577"/>
    <mergeCell ref="O575:O577"/>
    <mergeCell ref="Q548:Q550"/>
    <mergeCell ref="O50:O52"/>
    <mergeCell ref="P50:P52"/>
    <mergeCell ref="Q50:Q52"/>
    <mergeCell ref="R50:R52"/>
    <mergeCell ref="S50:S52"/>
    <mergeCell ref="B116:B118"/>
    <mergeCell ref="G116:G118"/>
    <mergeCell ref="L116:L118"/>
    <mergeCell ref="M116:M118"/>
    <mergeCell ref="N116:N118"/>
    <mergeCell ref="O116:O118"/>
    <mergeCell ref="P116:P118"/>
    <mergeCell ref="Q116:Q118"/>
    <mergeCell ref="R116:R118"/>
    <mergeCell ref="S116:S118"/>
    <mergeCell ref="B95:B97"/>
    <mergeCell ref="O113:O115"/>
    <mergeCell ref="P113:P115"/>
    <mergeCell ref="Q113:Q115"/>
    <mergeCell ref="R113:R115"/>
    <mergeCell ref="S113:S115"/>
    <mergeCell ref="R71:R73"/>
    <mergeCell ref="R245:R247"/>
    <mergeCell ref="S245:S247"/>
    <mergeCell ref="N86:N88"/>
    <mergeCell ref="O86:O88"/>
    <mergeCell ref="R542:R544"/>
    <mergeCell ref="S542:S544"/>
    <mergeCell ref="R122:R124"/>
    <mergeCell ref="Q149:Q151"/>
    <mergeCell ref="R149:R151"/>
    <mergeCell ref="S149:S151"/>
    <mergeCell ref="Q146:Q148"/>
    <mergeCell ref="R104:R106"/>
    <mergeCell ref="S104:S106"/>
    <mergeCell ref="N263:N265"/>
    <mergeCell ref="O263:O265"/>
    <mergeCell ref="P263:P265"/>
    <mergeCell ref="Q263:Q265"/>
    <mergeCell ref="R263:R265"/>
    <mergeCell ref="S263:S265"/>
    <mergeCell ref="O350:O352"/>
    <mergeCell ref="P350:P352"/>
    <mergeCell ref="O104:O106"/>
    <mergeCell ref="N488:N490"/>
    <mergeCell ref="O488:O490"/>
    <mergeCell ref="P488:P490"/>
    <mergeCell ref="Q488:Q490"/>
    <mergeCell ref="R488:R490"/>
    <mergeCell ref="S488:S490"/>
    <mergeCell ref="N149:N151"/>
    <mergeCell ref="O149:O151"/>
    <mergeCell ref="P149:P151"/>
    <mergeCell ref="O146:O148"/>
    <mergeCell ref="P146:P148"/>
    <mergeCell ref="P215:P217"/>
    <mergeCell ref="P224:P226"/>
    <mergeCell ref="N107:N109"/>
    <mergeCell ref="B263:B265"/>
    <mergeCell ref="G263:G265"/>
    <mergeCell ref="L263:L265"/>
    <mergeCell ref="M263:M265"/>
    <mergeCell ref="R86:R88"/>
    <mergeCell ref="M266:M268"/>
    <mergeCell ref="N266:N268"/>
    <mergeCell ref="O266:O268"/>
    <mergeCell ref="P266:P268"/>
    <mergeCell ref="Q266:Q268"/>
    <mergeCell ref="R266:R268"/>
    <mergeCell ref="Q224:Q226"/>
    <mergeCell ref="P86:P88"/>
    <mergeCell ref="B104:B106"/>
    <mergeCell ref="G122:G124"/>
    <mergeCell ref="L122:L124"/>
    <mergeCell ref="M122:M124"/>
    <mergeCell ref="Q104:Q106"/>
    <mergeCell ref="Q89:Q91"/>
    <mergeCell ref="Q173:Q175"/>
    <mergeCell ref="R173:R175"/>
    <mergeCell ref="P95:P97"/>
    <mergeCell ref="Q95:Q97"/>
    <mergeCell ref="R95:R97"/>
    <mergeCell ref="M197:M199"/>
    <mergeCell ref="G215:G217"/>
    <mergeCell ref="B224:B226"/>
    <mergeCell ref="G224:G226"/>
    <mergeCell ref="L224:L226"/>
    <mergeCell ref="M224:M226"/>
    <mergeCell ref="N224:N226"/>
    <mergeCell ref="O224:O226"/>
    <mergeCell ref="B599:B601"/>
    <mergeCell ref="B557:B559"/>
    <mergeCell ref="G557:G559"/>
    <mergeCell ref="L557:L559"/>
    <mergeCell ref="M557:M559"/>
    <mergeCell ref="N557:N559"/>
    <mergeCell ref="O557:O559"/>
    <mergeCell ref="P557:P559"/>
    <mergeCell ref="O596:O598"/>
    <mergeCell ref="P596:P598"/>
    <mergeCell ref="G410:G412"/>
    <mergeCell ref="L410:L412"/>
    <mergeCell ref="M386:M388"/>
    <mergeCell ref="N386:N388"/>
    <mergeCell ref="G344:G346"/>
    <mergeCell ref="O392:O394"/>
    <mergeCell ref="P392:P394"/>
    <mergeCell ref="N413:N415"/>
    <mergeCell ref="O380:O382"/>
    <mergeCell ref="B479:B481"/>
    <mergeCell ref="O479:O481"/>
    <mergeCell ref="P479:P481"/>
    <mergeCell ref="G488:G490"/>
    <mergeCell ref="B446:B448"/>
    <mergeCell ref="G440:G442"/>
    <mergeCell ref="G401:G403"/>
    <mergeCell ref="L401:L403"/>
    <mergeCell ref="M401:M403"/>
    <mergeCell ref="L542:L544"/>
    <mergeCell ref="M542:M544"/>
    <mergeCell ref="N542:N544"/>
    <mergeCell ref="O542:O544"/>
    <mergeCell ref="Q557:Q559"/>
    <mergeCell ref="R557:R559"/>
    <mergeCell ref="S557:S559"/>
    <mergeCell ref="B596:B598"/>
    <mergeCell ref="G596:G598"/>
    <mergeCell ref="L596:L598"/>
    <mergeCell ref="M596:M598"/>
    <mergeCell ref="N596:N598"/>
    <mergeCell ref="S266:S268"/>
    <mergeCell ref="L494:L496"/>
    <mergeCell ref="M494:M496"/>
    <mergeCell ref="N494:N496"/>
    <mergeCell ref="O494:O496"/>
    <mergeCell ref="P494:P496"/>
    <mergeCell ref="Q494:Q496"/>
    <mergeCell ref="R494:R496"/>
    <mergeCell ref="S494:S496"/>
    <mergeCell ref="R296:R298"/>
    <mergeCell ref="S296:S298"/>
    <mergeCell ref="B386:B388"/>
    <mergeCell ref="G386:G388"/>
    <mergeCell ref="L386:L388"/>
    <mergeCell ref="R353:R355"/>
    <mergeCell ref="B266:B268"/>
    <mergeCell ref="B284:B286"/>
    <mergeCell ref="G284:G286"/>
    <mergeCell ref="L284:L286"/>
    <mergeCell ref="B350:B352"/>
    <mergeCell ref="G350:G352"/>
    <mergeCell ref="L350:L352"/>
    <mergeCell ref="M350:M352"/>
    <mergeCell ref="N350:N352"/>
    <mergeCell ref="Q65:Q67"/>
    <mergeCell ref="P107:P109"/>
    <mergeCell ref="Q107:Q109"/>
    <mergeCell ref="R107:R109"/>
    <mergeCell ref="S107:S109"/>
    <mergeCell ref="S122:S124"/>
    <mergeCell ref="N122:N124"/>
    <mergeCell ref="O122:O124"/>
    <mergeCell ref="Q119:Q121"/>
    <mergeCell ref="P122:P124"/>
    <mergeCell ref="Q122:Q124"/>
    <mergeCell ref="R119:R121"/>
    <mergeCell ref="B110:B112"/>
    <mergeCell ref="G110:G112"/>
    <mergeCell ref="L110:L112"/>
    <mergeCell ref="M110:M112"/>
    <mergeCell ref="N110:N112"/>
    <mergeCell ref="O110:O112"/>
    <mergeCell ref="P110:P112"/>
    <mergeCell ref="Q110:Q112"/>
    <mergeCell ref="R110:R112"/>
    <mergeCell ref="S110:S112"/>
    <mergeCell ref="G119:G121"/>
    <mergeCell ref="L119:L121"/>
    <mergeCell ref="P119:P121"/>
    <mergeCell ref="L68:L70"/>
    <mergeCell ref="M68:M70"/>
    <mergeCell ref="N68:N70"/>
    <mergeCell ref="O68:O70"/>
    <mergeCell ref="O83:O85"/>
    <mergeCell ref="N71:N73"/>
    <mergeCell ref="R92:R94"/>
    <mergeCell ref="R65:R67"/>
    <mergeCell ref="R83:R85"/>
    <mergeCell ref="S350:S352"/>
    <mergeCell ref="G266:G268"/>
    <mergeCell ref="L266:L268"/>
    <mergeCell ref="B296:B298"/>
    <mergeCell ref="G296:G298"/>
    <mergeCell ref="M326:M328"/>
    <mergeCell ref="Q341:Q343"/>
    <mergeCell ref="R341:R343"/>
    <mergeCell ref="S341:S343"/>
    <mergeCell ref="O299:O301"/>
    <mergeCell ref="Q302:Q304"/>
    <mergeCell ref="R302:R304"/>
    <mergeCell ref="P329:P331"/>
    <mergeCell ref="B53:B55"/>
    <mergeCell ref="G53:G55"/>
    <mergeCell ref="L53:L55"/>
    <mergeCell ref="M53:M55"/>
    <mergeCell ref="N53:N55"/>
    <mergeCell ref="O53:O55"/>
    <mergeCell ref="P53:P55"/>
    <mergeCell ref="Q53:Q55"/>
    <mergeCell ref="R53:R55"/>
    <mergeCell ref="S53:S55"/>
    <mergeCell ref="B65:B67"/>
    <mergeCell ref="G65:G67"/>
    <mergeCell ref="L65:L67"/>
    <mergeCell ref="M65:M67"/>
    <mergeCell ref="N65:N67"/>
    <mergeCell ref="O65:O67"/>
    <mergeCell ref="P65:P67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7"/>
  <sheetViews>
    <sheetView topLeftCell="A100" workbookViewId="0">
      <selection activeCell="E121" sqref="E121"/>
    </sheetView>
  </sheetViews>
  <sheetFormatPr defaultRowHeight="16.5"/>
  <cols>
    <col min="1" max="1" width="16.375" style="95" customWidth="1"/>
    <col min="2" max="2" width="17" style="95" customWidth="1"/>
    <col min="3" max="9" width="14.5" style="95" customWidth="1"/>
    <col min="10" max="10" width="8.875" style="95"/>
  </cols>
  <sheetData>
    <row r="1" spans="1:10">
      <c r="B1" s="95" t="s">
        <v>248</v>
      </c>
      <c r="C1" s="97" t="s">
        <v>223</v>
      </c>
      <c r="D1" s="97" t="s">
        <v>224</v>
      </c>
      <c r="E1" s="98" t="s">
        <v>225</v>
      </c>
      <c r="F1" s="98" t="s">
        <v>226</v>
      </c>
      <c r="G1" s="97" t="s">
        <v>227</v>
      </c>
      <c r="H1" s="95" t="s">
        <v>228</v>
      </c>
      <c r="I1" s="95" t="s">
        <v>229</v>
      </c>
      <c r="J1" s="95" t="s">
        <v>222</v>
      </c>
    </row>
    <row r="2" spans="1:10">
      <c r="A2" s="118" t="s">
        <v>396</v>
      </c>
      <c r="B2" s="96">
        <v>1</v>
      </c>
      <c r="C2" s="171">
        <v>0.2</v>
      </c>
      <c r="D2" s="112">
        <v>0.2</v>
      </c>
      <c r="E2" s="108"/>
      <c r="F2" s="108"/>
      <c r="G2" s="108"/>
      <c r="H2" s="108">
        <v>0.2</v>
      </c>
      <c r="I2" s="108"/>
      <c r="J2" s="169"/>
    </row>
    <row r="3" spans="1:10">
      <c r="A3" s="117" t="s">
        <v>432</v>
      </c>
      <c r="B3" s="96">
        <v>1</v>
      </c>
      <c r="C3" s="170"/>
      <c r="D3" s="108"/>
      <c r="E3" s="108"/>
      <c r="F3" s="108"/>
      <c r="G3" s="108"/>
      <c r="H3" s="108"/>
      <c r="I3" s="108">
        <v>2000</v>
      </c>
      <c r="J3" s="169"/>
    </row>
    <row r="4" spans="1:10">
      <c r="A4" s="118" t="s">
        <v>415</v>
      </c>
      <c r="B4" s="96">
        <v>1</v>
      </c>
      <c r="C4" s="170"/>
      <c r="D4" s="108">
        <v>0.5</v>
      </c>
      <c r="E4" s="108"/>
      <c r="F4" s="108"/>
      <c r="G4" s="108"/>
      <c r="H4" s="108"/>
      <c r="I4" s="108"/>
      <c r="J4" s="169"/>
    </row>
    <row r="5" spans="1:10">
      <c r="A5" s="118" t="s">
        <v>495</v>
      </c>
      <c r="B5" s="96">
        <v>1</v>
      </c>
      <c r="C5" s="170"/>
      <c r="D5" s="108">
        <v>0.5</v>
      </c>
      <c r="E5" s="108"/>
      <c r="F5" s="108"/>
      <c r="G5" s="108"/>
      <c r="H5" s="108"/>
      <c r="I5" s="108"/>
      <c r="J5" s="169"/>
    </row>
    <row r="6" spans="1:10">
      <c r="A6" s="116" t="s">
        <v>1140</v>
      </c>
      <c r="B6" s="96">
        <v>1</v>
      </c>
      <c r="C6" s="170"/>
      <c r="D6" s="108"/>
      <c r="E6" s="108"/>
      <c r="F6" s="108"/>
      <c r="G6" s="108"/>
      <c r="H6" s="108">
        <v>7.3</v>
      </c>
      <c r="I6" s="108"/>
      <c r="J6" s="169"/>
    </row>
    <row r="7" spans="1:10">
      <c r="A7" s="116" t="s">
        <v>499</v>
      </c>
      <c r="B7" s="96">
        <v>1</v>
      </c>
      <c r="C7" s="170"/>
      <c r="D7" s="108"/>
      <c r="E7" s="108"/>
      <c r="F7" s="108"/>
      <c r="G7" s="108"/>
      <c r="H7" s="108">
        <v>90</v>
      </c>
      <c r="I7" s="108"/>
      <c r="J7" s="169"/>
    </row>
    <row r="8" spans="1:10">
      <c r="A8" s="117" t="s">
        <v>502</v>
      </c>
      <c r="B8" s="96">
        <v>1</v>
      </c>
      <c r="C8" s="170"/>
      <c r="D8" s="108"/>
      <c r="E8" s="108">
        <v>28.5</v>
      </c>
      <c r="F8" s="108"/>
      <c r="G8" s="108"/>
      <c r="H8" s="108"/>
      <c r="I8" s="108"/>
      <c r="J8" s="169"/>
    </row>
    <row r="9" spans="1:10">
      <c r="A9" s="118" t="s">
        <v>506</v>
      </c>
      <c r="B9" s="96">
        <v>1</v>
      </c>
      <c r="C9" s="170"/>
      <c r="D9" s="108">
        <v>0.8</v>
      </c>
      <c r="E9" s="108"/>
      <c r="F9" s="108"/>
      <c r="G9" s="108"/>
      <c r="H9" s="108"/>
      <c r="I9" s="108"/>
      <c r="J9" s="169"/>
    </row>
    <row r="10" spans="1:10">
      <c r="A10" s="116" t="s">
        <v>510</v>
      </c>
      <c r="B10" s="96">
        <v>1</v>
      </c>
      <c r="C10" s="170">
        <v>3</v>
      </c>
      <c r="D10" s="108"/>
      <c r="E10" s="108"/>
      <c r="F10" s="108"/>
      <c r="G10" s="108"/>
      <c r="H10" s="108">
        <v>0.8</v>
      </c>
      <c r="I10" s="108">
        <v>10</v>
      </c>
      <c r="J10" s="169"/>
    </row>
    <row r="11" spans="1:10">
      <c r="A11" s="116" t="s">
        <v>513</v>
      </c>
      <c r="B11" s="96">
        <v>1</v>
      </c>
      <c r="C11" s="170"/>
      <c r="D11" s="108"/>
      <c r="E11" s="108"/>
      <c r="F11" s="108"/>
      <c r="G11" s="108">
        <v>1.6</v>
      </c>
      <c r="H11" s="108"/>
      <c r="I11" s="108"/>
      <c r="J11" s="169"/>
    </row>
    <row r="12" spans="1:10">
      <c r="A12" s="118" t="s">
        <v>516</v>
      </c>
      <c r="B12" s="96">
        <v>1</v>
      </c>
      <c r="C12" s="170">
        <v>3</v>
      </c>
      <c r="D12" s="108"/>
      <c r="E12" s="108"/>
      <c r="F12" s="108"/>
      <c r="G12" s="108"/>
      <c r="H12" s="108"/>
      <c r="I12" s="108"/>
      <c r="J12" s="169"/>
    </row>
    <row r="13" spans="1:10">
      <c r="A13" s="116" t="s">
        <v>519</v>
      </c>
      <c r="B13" s="96">
        <v>1</v>
      </c>
      <c r="C13" s="170">
        <v>3</v>
      </c>
      <c r="D13" s="108"/>
      <c r="E13" s="108"/>
      <c r="F13" s="108"/>
      <c r="G13" s="108"/>
      <c r="H13" s="108"/>
      <c r="I13" s="108"/>
      <c r="J13" s="169"/>
    </row>
    <row r="14" spans="1:10">
      <c r="A14" s="116" t="s">
        <v>523</v>
      </c>
      <c r="B14" s="96">
        <v>1</v>
      </c>
      <c r="C14" s="170">
        <v>2.7</v>
      </c>
      <c r="D14" s="108"/>
      <c r="E14" s="108"/>
      <c r="F14" s="108"/>
      <c r="G14" s="108"/>
      <c r="H14" s="108"/>
      <c r="I14" s="108">
        <v>5</v>
      </c>
      <c r="J14" s="169"/>
    </row>
    <row r="15" spans="1:10">
      <c r="A15" s="118" t="s">
        <v>298</v>
      </c>
      <c r="B15" s="96">
        <v>1</v>
      </c>
      <c r="C15" s="170">
        <v>2.2999999999999998</v>
      </c>
      <c r="D15" s="108"/>
      <c r="E15" s="108"/>
      <c r="F15" s="108"/>
      <c r="G15" s="108"/>
      <c r="H15" s="108">
        <v>1</v>
      </c>
      <c r="I15" s="108"/>
      <c r="J15" s="169"/>
    </row>
    <row r="16" spans="1:10">
      <c r="A16" s="116" t="s">
        <v>528</v>
      </c>
      <c r="B16" s="96">
        <v>1</v>
      </c>
      <c r="C16" s="170">
        <v>2</v>
      </c>
      <c r="D16" s="108"/>
      <c r="E16" s="108"/>
      <c r="F16" s="108"/>
      <c r="G16" s="108"/>
      <c r="H16" s="108"/>
      <c r="I16" s="108">
        <v>8</v>
      </c>
      <c r="J16" s="169"/>
    </row>
    <row r="17" spans="1:10">
      <c r="A17" s="116" t="s">
        <v>533</v>
      </c>
      <c r="B17" s="96">
        <v>1</v>
      </c>
      <c r="C17" s="170">
        <v>2</v>
      </c>
      <c r="D17" s="108"/>
      <c r="E17" s="108"/>
      <c r="F17" s="108"/>
      <c r="G17" s="108"/>
      <c r="H17" s="108"/>
      <c r="I17" s="108">
        <v>8</v>
      </c>
      <c r="J17" s="169"/>
    </row>
    <row r="18" spans="1:10">
      <c r="A18" s="118" t="s">
        <v>255</v>
      </c>
      <c r="B18" s="96">
        <v>1</v>
      </c>
      <c r="C18" s="170">
        <v>3</v>
      </c>
      <c r="D18" s="108"/>
      <c r="E18" s="108"/>
      <c r="F18" s="108"/>
      <c r="G18" s="108"/>
      <c r="H18" s="108"/>
      <c r="I18" s="108"/>
      <c r="J18" s="169"/>
    </row>
    <row r="19" spans="1:10">
      <c r="A19" s="116" t="s">
        <v>536</v>
      </c>
      <c r="B19" s="96">
        <v>1</v>
      </c>
      <c r="C19" s="170"/>
      <c r="D19" s="108">
        <v>0.5</v>
      </c>
      <c r="E19" s="108"/>
      <c r="F19" s="108"/>
      <c r="G19" s="108"/>
      <c r="H19" s="108"/>
      <c r="I19" s="108"/>
      <c r="J19" s="169"/>
    </row>
    <row r="20" spans="1:10">
      <c r="A20" s="116" t="s">
        <v>546</v>
      </c>
      <c r="B20" s="96">
        <v>1</v>
      </c>
      <c r="C20" s="170"/>
      <c r="D20" s="108">
        <v>1.4</v>
      </c>
      <c r="E20" s="108"/>
      <c r="F20" s="108"/>
      <c r="G20" s="108"/>
      <c r="H20" s="108"/>
      <c r="I20" s="108"/>
      <c r="J20" s="169"/>
    </row>
    <row r="21" spans="1:10">
      <c r="A21" s="116" t="s">
        <v>245</v>
      </c>
      <c r="B21" s="96">
        <v>1</v>
      </c>
      <c r="C21" s="170">
        <v>16</v>
      </c>
      <c r="D21" s="108"/>
      <c r="E21" s="108"/>
      <c r="F21" s="108"/>
      <c r="G21" s="108"/>
      <c r="H21" s="108"/>
      <c r="I21" s="108"/>
      <c r="J21" s="169"/>
    </row>
    <row r="22" spans="1:10">
      <c r="A22" s="116" t="s">
        <v>459</v>
      </c>
      <c r="B22" s="96">
        <v>1</v>
      </c>
      <c r="C22" s="170"/>
      <c r="D22" s="108">
        <v>1.2</v>
      </c>
      <c r="E22" s="108"/>
      <c r="F22" s="108"/>
      <c r="G22" s="108"/>
      <c r="H22" s="108"/>
      <c r="I22" s="108"/>
      <c r="J22" s="169"/>
    </row>
    <row r="23" spans="1:10">
      <c r="A23" s="116" t="s">
        <v>557</v>
      </c>
      <c r="B23" s="96">
        <v>1</v>
      </c>
      <c r="C23" s="170"/>
      <c r="D23" s="108">
        <v>1.2</v>
      </c>
      <c r="E23" s="108"/>
      <c r="F23" s="108"/>
      <c r="G23" s="108"/>
      <c r="H23" s="108"/>
      <c r="I23" s="108"/>
      <c r="J23" s="169"/>
    </row>
    <row r="24" spans="1:10">
      <c r="A24" s="116" t="s">
        <v>558</v>
      </c>
      <c r="B24" s="96">
        <v>1</v>
      </c>
      <c r="C24" s="170"/>
      <c r="D24" s="108">
        <v>1.2</v>
      </c>
      <c r="E24" s="108"/>
      <c r="F24" s="108"/>
      <c r="G24" s="108"/>
      <c r="H24" s="108"/>
      <c r="I24" s="108"/>
      <c r="J24" s="169"/>
    </row>
    <row r="25" spans="1:10">
      <c r="A25" s="116" t="s">
        <v>265</v>
      </c>
      <c r="B25" s="96">
        <v>1</v>
      </c>
      <c r="C25" s="170"/>
      <c r="D25" s="108">
        <v>1.2</v>
      </c>
      <c r="E25" s="108"/>
      <c r="F25" s="108"/>
      <c r="G25" s="108"/>
      <c r="H25" s="108"/>
      <c r="I25" s="108"/>
      <c r="J25" s="169"/>
    </row>
    <row r="26" spans="1:10">
      <c r="A26" s="116" t="s">
        <v>561</v>
      </c>
      <c r="B26" s="96">
        <v>1</v>
      </c>
      <c r="C26" s="170"/>
      <c r="D26" s="108"/>
      <c r="E26" s="108"/>
      <c r="F26" s="108">
        <v>3</v>
      </c>
      <c r="G26" s="108"/>
      <c r="H26" s="108"/>
      <c r="I26" s="108"/>
      <c r="J26" s="169"/>
    </row>
    <row r="27" spans="1:10">
      <c r="A27" s="116" t="s">
        <v>564</v>
      </c>
      <c r="B27" s="96">
        <v>1</v>
      </c>
      <c r="C27" s="170"/>
      <c r="D27" s="108"/>
      <c r="E27" s="108"/>
      <c r="F27" s="108"/>
      <c r="G27" s="108">
        <v>3.4</v>
      </c>
      <c r="H27" s="108"/>
      <c r="I27" s="108">
        <v>172</v>
      </c>
      <c r="J27" s="169"/>
    </row>
    <row r="28" spans="1:10">
      <c r="A28" s="116" t="s">
        <v>565</v>
      </c>
      <c r="B28" s="96">
        <v>1</v>
      </c>
      <c r="C28" s="170">
        <v>1.8</v>
      </c>
      <c r="D28" s="108">
        <v>0.5</v>
      </c>
      <c r="E28" s="108"/>
      <c r="F28" s="108"/>
      <c r="G28" s="108"/>
      <c r="H28" s="108">
        <v>0.8</v>
      </c>
      <c r="I28" s="108"/>
      <c r="J28" s="169"/>
    </row>
    <row r="29" spans="1:10">
      <c r="A29" s="116" t="s">
        <v>119</v>
      </c>
      <c r="B29" s="96">
        <v>1</v>
      </c>
      <c r="C29" s="170"/>
      <c r="D29" s="108"/>
      <c r="E29" s="108">
        <v>4.2</v>
      </c>
      <c r="F29" s="108"/>
      <c r="G29" s="108"/>
      <c r="H29" s="108"/>
      <c r="I29" s="108"/>
      <c r="J29" s="169"/>
    </row>
    <row r="30" spans="1:10">
      <c r="A30" s="116" t="s">
        <v>267</v>
      </c>
      <c r="B30" s="96">
        <v>1</v>
      </c>
      <c r="C30" s="170"/>
      <c r="D30" s="108">
        <v>6</v>
      </c>
      <c r="E30" s="108"/>
      <c r="F30" s="108"/>
      <c r="G30" s="108"/>
      <c r="H30" s="108"/>
      <c r="I30" s="108"/>
      <c r="J30" s="169"/>
    </row>
    <row r="31" spans="1:10">
      <c r="A31" s="116" t="s">
        <v>269</v>
      </c>
      <c r="B31" s="96">
        <v>1</v>
      </c>
      <c r="C31" s="170">
        <v>0.37</v>
      </c>
      <c r="D31" s="108">
        <v>0.17</v>
      </c>
      <c r="E31" s="108"/>
      <c r="F31" s="108"/>
      <c r="G31" s="108"/>
      <c r="H31" s="108">
        <v>0.7</v>
      </c>
      <c r="I31" s="108"/>
      <c r="J31" s="169"/>
    </row>
    <row r="32" spans="1:10">
      <c r="A32" s="116" t="s">
        <v>286</v>
      </c>
      <c r="B32" s="96">
        <v>1</v>
      </c>
      <c r="C32" s="170">
        <v>0.2</v>
      </c>
      <c r="D32" s="108">
        <v>0.17</v>
      </c>
      <c r="E32" s="108"/>
      <c r="F32" s="108"/>
      <c r="G32" s="108"/>
      <c r="H32" s="108">
        <v>0.1</v>
      </c>
      <c r="I32" s="108"/>
      <c r="J32" s="169"/>
    </row>
    <row r="33" spans="1:10">
      <c r="A33" s="116" t="s">
        <v>270</v>
      </c>
      <c r="B33" s="96">
        <v>1</v>
      </c>
      <c r="C33" s="170">
        <v>0.9</v>
      </c>
      <c r="D33" s="108">
        <v>0.5</v>
      </c>
      <c r="E33" s="108"/>
      <c r="F33" s="108"/>
      <c r="G33" s="108"/>
      <c r="H33" s="108">
        <v>0.6</v>
      </c>
      <c r="I33" s="108"/>
      <c r="J33" s="169"/>
    </row>
    <row r="34" spans="1:10">
      <c r="A34" s="116" t="s">
        <v>410</v>
      </c>
      <c r="B34" s="96">
        <v>1</v>
      </c>
      <c r="C34" s="170">
        <v>3.4</v>
      </c>
      <c r="D34" s="108"/>
      <c r="E34" s="108"/>
      <c r="F34" s="108"/>
      <c r="G34" s="108"/>
      <c r="H34" s="108">
        <v>0.6</v>
      </c>
      <c r="I34" s="108"/>
      <c r="J34" s="169"/>
    </row>
    <row r="35" spans="1:10">
      <c r="A35" s="116" t="s">
        <v>297</v>
      </c>
      <c r="B35" s="96">
        <v>1</v>
      </c>
      <c r="C35" s="170">
        <v>2.2000000000000002</v>
      </c>
      <c r="D35" s="108"/>
      <c r="E35" s="108"/>
      <c r="F35" s="108"/>
      <c r="G35" s="108"/>
      <c r="H35" s="108"/>
      <c r="I35" s="108">
        <v>18</v>
      </c>
      <c r="J35" s="169"/>
    </row>
    <row r="36" spans="1:10">
      <c r="A36" s="116" t="s">
        <v>568</v>
      </c>
      <c r="B36" s="96">
        <v>1</v>
      </c>
      <c r="C36" s="170">
        <v>1.8</v>
      </c>
      <c r="D36" s="108">
        <v>0.1</v>
      </c>
      <c r="E36" s="108"/>
      <c r="F36" s="108"/>
      <c r="G36" s="108"/>
      <c r="H36" s="108"/>
      <c r="I36" s="108">
        <v>16</v>
      </c>
      <c r="J36" s="169"/>
    </row>
    <row r="37" spans="1:10">
      <c r="A37" s="116" t="s">
        <v>144</v>
      </c>
      <c r="B37" s="96">
        <v>1</v>
      </c>
      <c r="C37" s="170">
        <v>0.8</v>
      </c>
      <c r="D37" s="108"/>
      <c r="E37" s="108"/>
      <c r="F37" s="108"/>
      <c r="G37" s="108"/>
      <c r="H37" s="108"/>
      <c r="I37" s="108"/>
      <c r="J37" s="169"/>
    </row>
    <row r="38" spans="1:10">
      <c r="A38" s="116" t="s">
        <v>569</v>
      </c>
      <c r="B38" s="96">
        <v>1</v>
      </c>
      <c r="C38" s="170">
        <v>1.8</v>
      </c>
      <c r="D38" s="108"/>
      <c r="E38" s="108"/>
      <c r="F38" s="108">
        <v>0.5</v>
      </c>
      <c r="G38" s="108"/>
      <c r="H38" s="108">
        <v>0.5</v>
      </c>
      <c r="I38" s="108"/>
      <c r="J38" s="169"/>
    </row>
    <row r="39" spans="1:10">
      <c r="A39" s="116" t="s">
        <v>570</v>
      </c>
      <c r="B39" s="96">
        <v>1</v>
      </c>
      <c r="C39" s="170">
        <v>0.3</v>
      </c>
      <c r="D39" s="108">
        <v>0.3</v>
      </c>
      <c r="E39" s="108"/>
      <c r="F39" s="108"/>
      <c r="G39" s="108"/>
      <c r="H39" s="108">
        <v>0.5</v>
      </c>
      <c r="I39" s="108"/>
      <c r="J39" s="169"/>
    </row>
    <row r="40" spans="1:10">
      <c r="A40" s="116" t="s">
        <v>1057</v>
      </c>
      <c r="B40" s="96">
        <v>1</v>
      </c>
      <c r="C40" s="170">
        <v>0.3</v>
      </c>
      <c r="D40" s="108">
        <v>0.3</v>
      </c>
      <c r="E40" s="108"/>
      <c r="F40" s="108"/>
      <c r="G40" s="108"/>
      <c r="H40" s="108">
        <v>0.5</v>
      </c>
      <c r="I40" s="108"/>
      <c r="J40" s="169"/>
    </row>
    <row r="41" spans="1:10">
      <c r="A41" s="116" t="s">
        <v>254</v>
      </c>
      <c r="B41" s="96">
        <v>1</v>
      </c>
      <c r="C41" s="172">
        <v>1.57</v>
      </c>
      <c r="D41" s="109"/>
      <c r="E41" s="109"/>
      <c r="F41" s="109"/>
      <c r="G41" s="109"/>
      <c r="H41" s="109"/>
      <c r="I41" s="108"/>
      <c r="J41" s="169"/>
    </row>
    <row r="42" spans="1:10">
      <c r="A42" s="117" t="s">
        <v>256</v>
      </c>
      <c r="B42" s="96">
        <v>1</v>
      </c>
      <c r="C42" s="170"/>
      <c r="D42" s="108"/>
      <c r="E42" s="108">
        <v>0.5</v>
      </c>
      <c r="F42" s="108"/>
      <c r="G42" s="108"/>
      <c r="H42" s="108"/>
      <c r="I42" s="108"/>
      <c r="J42" s="169"/>
    </row>
    <row r="43" spans="1:10">
      <c r="A43" s="117" t="s">
        <v>571</v>
      </c>
      <c r="B43" s="96">
        <v>1</v>
      </c>
      <c r="C43" s="170"/>
      <c r="D43" s="108"/>
      <c r="E43" s="108"/>
      <c r="F43" s="108"/>
      <c r="G43" s="108">
        <v>6.8</v>
      </c>
      <c r="H43" s="108"/>
      <c r="I43" s="108">
        <v>344</v>
      </c>
      <c r="J43" s="169"/>
    </row>
    <row r="44" spans="1:10">
      <c r="A44" s="116" t="s">
        <v>573</v>
      </c>
      <c r="B44" s="96">
        <v>1</v>
      </c>
      <c r="C44" s="170">
        <v>0.4</v>
      </c>
      <c r="D44" s="108">
        <v>0.3</v>
      </c>
      <c r="E44" s="108"/>
      <c r="F44" s="108"/>
      <c r="G44" s="108"/>
      <c r="H44" s="108"/>
      <c r="I44" s="108"/>
      <c r="J44" s="169"/>
    </row>
    <row r="45" spans="1:10">
      <c r="A45" s="116" t="s">
        <v>145</v>
      </c>
      <c r="B45" s="96">
        <v>1</v>
      </c>
      <c r="C45" s="170"/>
      <c r="D45" s="108">
        <v>5.2</v>
      </c>
      <c r="E45" s="108"/>
      <c r="F45" s="108"/>
      <c r="G45" s="108"/>
      <c r="H45" s="108"/>
      <c r="I45" s="108"/>
      <c r="J45" s="169"/>
    </row>
    <row r="46" spans="1:10">
      <c r="A46" s="116" t="s">
        <v>425</v>
      </c>
      <c r="B46" s="96">
        <v>1</v>
      </c>
      <c r="C46" s="170">
        <v>1.5</v>
      </c>
      <c r="D46" s="108"/>
      <c r="E46" s="108"/>
      <c r="F46" s="108"/>
      <c r="G46" s="108"/>
      <c r="H46" s="108">
        <v>1.3</v>
      </c>
      <c r="I46" s="108">
        <v>10</v>
      </c>
      <c r="J46" s="169"/>
    </row>
    <row r="47" spans="1:10">
      <c r="A47" s="116" t="s">
        <v>574</v>
      </c>
      <c r="B47" s="96">
        <v>1</v>
      </c>
      <c r="C47" s="170">
        <v>2</v>
      </c>
      <c r="D47" s="108"/>
      <c r="E47" s="108"/>
      <c r="F47" s="108"/>
      <c r="G47" s="108"/>
      <c r="H47" s="108"/>
      <c r="I47" s="108"/>
      <c r="J47" s="169"/>
    </row>
    <row r="48" spans="1:10">
      <c r="A48" s="116" t="s">
        <v>575</v>
      </c>
      <c r="B48" s="96">
        <v>1</v>
      </c>
      <c r="C48" s="170">
        <v>2</v>
      </c>
      <c r="D48" s="108"/>
      <c r="E48" s="108"/>
      <c r="F48" s="108"/>
      <c r="G48" s="108"/>
      <c r="H48" s="108"/>
      <c r="I48" s="108"/>
      <c r="J48" s="169"/>
    </row>
    <row r="49" spans="1:10">
      <c r="A49" s="116" t="s">
        <v>578</v>
      </c>
      <c r="B49" s="96">
        <v>1</v>
      </c>
      <c r="C49" s="170">
        <v>2</v>
      </c>
      <c r="D49" s="108"/>
      <c r="E49" s="108"/>
      <c r="F49" s="108"/>
      <c r="G49" s="108"/>
      <c r="H49" s="108">
        <v>1</v>
      </c>
      <c r="I49" s="108"/>
      <c r="J49" s="169"/>
    </row>
    <row r="50" spans="1:10">
      <c r="A50" s="116" t="s">
        <v>107</v>
      </c>
      <c r="B50" s="96">
        <v>1</v>
      </c>
      <c r="C50" s="170">
        <v>0.35</v>
      </c>
      <c r="D50" s="108">
        <v>0.17</v>
      </c>
      <c r="E50" s="108"/>
      <c r="F50" s="108"/>
      <c r="G50" s="108"/>
      <c r="H50" s="108"/>
      <c r="I50" s="108"/>
      <c r="J50" s="169"/>
    </row>
    <row r="51" spans="1:10">
      <c r="A51" s="117" t="s">
        <v>1132</v>
      </c>
      <c r="B51" s="96">
        <v>1</v>
      </c>
      <c r="C51" s="170"/>
      <c r="D51" s="108"/>
      <c r="E51" s="108"/>
      <c r="F51" s="108"/>
      <c r="G51" s="108"/>
      <c r="H51" s="108">
        <v>100</v>
      </c>
      <c r="I51" s="108"/>
      <c r="J51" s="169"/>
    </row>
    <row r="52" spans="1:10">
      <c r="A52" s="116" t="s">
        <v>360</v>
      </c>
      <c r="B52" s="96">
        <v>1</v>
      </c>
      <c r="C52" s="170">
        <v>1</v>
      </c>
      <c r="D52" s="108"/>
      <c r="E52" s="108"/>
      <c r="F52" s="108"/>
      <c r="G52" s="108"/>
      <c r="H52" s="108"/>
      <c r="I52" s="108"/>
      <c r="J52" s="169"/>
    </row>
    <row r="53" spans="1:10">
      <c r="A53" s="118" t="s">
        <v>290</v>
      </c>
      <c r="B53" s="96">
        <v>1</v>
      </c>
      <c r="C53" s="170">
        <v>10</v>
      </c>
      <c r="D53" s="108"/>
      <c r="E53" s="108"/>
      <c r="F53" s="108"/>
      <c r="G53" s="108"/>
      <c r="H53" s="108"/>
      <c r="I53" s="108"/>
      <c r="J53" s="169"/>
    </row>
    <row r="54" spans="1:10">
      <c r="A54" s="116" t="s">
        <v>257</v>
      </c>
      <c r="B54" s="96">
        <v>1</v>
      </c>
      <c r="C54" s="170">
        <v>1</v>
      </c>
      <c r="D54" s="108"/>
      <c r="E54" s="108"/>
      <c r="F54" s="108"/>
      <c r="G54" s="108"/>
      <c r="H54" s="108"/>
      <c r="I54" s="108">
        <v>5</v>
      </c>
      <c r="J54" s="169"/>
    </row>
    <row r="55" spans="1:10">
      <c r="A55" s="96" t="s">
        <v>19</v>
      </c>
      <c r="B55" s="96">
        <v>1</v>
      </c>
      <c r="C55" s="169">
        <f>VLOOKUP($A55,工作表3!$A:I,9,FALSE)</f>
        <v>0</v>
      </c>
      <c r="D55" s="95">
        <f>VLOOKUP($A55,工作表3!$A:J,10,FALSE)</f>
        <v>0</v>
      </c>
      <c r="E55" s="95">
        <f>VLOOKUP($A55,工作表3!$A:K,11,FALSE)</f>
        <v>0</v>
      </c>
      <c r="F55" s="95">
        <f>VLOOKUP($A55,工作表3!$A:L,12,FALSE)</f>
        <v>0</v>
      </c>
      <c r="G55" s="95">
        <f>VLOOKUP($A55,工作表3!$A:M,13,FALSE)</f>
        <v>1</v>
      </c>
      <c r="H55" s="95">
        <f>VLOOKUP($A55,工作表3!$A:N,14,FALSE)</f>
        <v>0</v>
      </c>
      <c r="I55" s="95">
        <f>VLOOKUP($A55,工作表3!$A:O,15,FALSE)</f>
        <v>0</v>
      </c>
      <c r="J55" s="169"/>
    </row>
    <row r="56" spans="1:10">
      <c r="A56" s="99" t="s">
        <v>288</v>
      </c>
      <c r="B56" s="99">
        <v>1</v>
      </c>
      <c r="C56" s="169" t="e">
        <f>VLOOKUP($A56,工作表3!$A:I,9,FALSE)</f>
        <v>#N/A</v>
      </c>
      <c r="D56" s="95" t="e">
        <f>VLOOKUP($A56,工作表3!$A:J,10,FALSE)</f>
        <v>#N/A</v>
      </c>
      <c r="E56" s="95" t="e">
        <f>VLOOKUP($A56,工作表3!$A:K,11,FALSE)</f>
        <v>#N/A</v>
      </c>
      <c r="F56" s="95" t="e">
        <f>VLOOKUP($A56,工作表3!$A:L,12,FALSE)</f>
        <v>#N/A</v>
      </c>
      <c r="G56" s="95" t="e">
        <f>VLOOKUP($A56,工作表3!$A:M,13,FALSE)</f>
        <v>#N/A</v>
      </c>
      <c r="H56" s="95" t="e">
        <f>VLOOKUP($A56,工作表3!$A:N,14,FALSE)</f>
        <v>#N/A</v>
      </c>
      <c r="I56" s="95" t="e">
        <f>VLOOKUP($A56,工作表3!$A:O,15,FALSE)</f>
        <v>#N/A</v>
      </c>
      <c r="J56" s="169"/>
    </row>
    <row r="57" spans="1:10">
      <c r="A57" s="96" t="s">
        <v>149</v>
      </c>
      <c r="B57" s="96">
        <v>1</v>
      </c>
      <c r="C57" s="169"/>
      <c r="D57" s="95">
        <v>0.34</v>
      </c>
      <c r="I57" s="95">
        <v>17</v>
      </c>
      <c r="J57" s="169"/>
    </row>
    <row r="58" spans="1:10">
      <c r="A58" s="99" t="s">
        <v>414</v>
      </c>
      <c r="B58" s="99">
        <v>1</v>
      </c>
      <c r="C58" s="169">
        <f>VLOOKUP($A58,工作表3!$A:I,9,FALSE)</f>
        <v>0</v>
      </c>
      <c r="D58" s="95">
        <f>VLOOKUP($A58,工作表3!$A:J,10,FALSE)</f>
        <v>0.5</v>
      </c>
      <c r="E58" s="95">
        <f>VLOOKUP($A58,工作表3!$A:K,11,FALSE)</f>
        <v>0</v>
      </c>
      <c r="F58" s="95">
        <f>VLOOKUP($A58,工作表3!$A:L,12,FALSE)</f>
        <v>0</v>
      </c>
      <c r="G58" s="95">
        <f>VLOOKUP($A58,工作表3!$A:M,13,FALSE)</f>
        <v>0</v>
      </c>
      <c r="H58" s="95">
        <f>VLOOKUP($A58,工作表3!$A:N,14,FALSE)</f>
        <v>0</v>
      </c>
      <c r="I58" s="95">
        <f>VLOOKUP($A58,工作表3!$A:O,15,FALSE)</f>
        <v>0</v>
      </c>
      <c r="J58" s="169"/>
    </row>
    <row r="59" spans="1:10">
      <c r="A59" s="99" t="s">
        <v>287</v>
      </c>
      <c r="B59" s="99">
        <v>1</v>
      </c>
      <c r="C59" s="169">
        <f>VLOOKUP($A59,工作表3!$A:I,9,FALSE)</f>
        <v>0.2</v>
      </c>
      <c r="D59" s="95">
        <f>VLOOKUP($A59,工作表3!$A:J,10,FALSE)</f>
        <v>0.17</v>
      </c>
      <c r="E59" s="95">
        <f>VLOOKUP($A59,工作表3!$A:K,11,FALSE)</f>
        <v>0</v>
      </c>
      <c r="F59" s="95">
        <f>VLOOKUP($A59,工作表3!$A:L,12,FALSE)</f>
        <v>0</v>
      </c>
      <c r="G59" s="95">
        <f>VLOOKUP($A59,工作表3!$A:M,13,FALSE)</f>
        <v>0</v>
      </c>
      <c r="H59" s="95">
        <f>VLOOKUP($A59,工作表3!$A:N,14,FALSE)</f>
        <v>0.1</v>
      </c>
      <c r="I59" s="95">
        <f>VLOOKUP($A59,工作表3!$A:O,15,FALSE)</f>
        <v>0</v>
      </c>
      <c r="J59" s="169"/>
    </row>
    <row r="60" spans="1:10">
      <c r="A60" s="99" t="s">
        <v>253</v>
      </c>
      <c r="B60" s="99">
        <v>1</v>
      </c>
      <c r="C60" s="169">
        <f>VLOOKUP($A60,工作表3!$A:I,9,FALSE)</f>
        <v>0.35</v>
      </c>
      <c r="D60" s="95">
        <f>VLOOKUP($A60,工作表3!$A:J,10,FALSE)</f>
        <v>0.17</v>
      </c>
      <c r="E60" s="95">
        <f>VLOOKUP($A60,工作表3!$A:K,11,FALSE)</f>
        <v>0</v>
      </c>
      <c r="F60" s="95">
        <f>VLOOKUP($A60,工作表3!$A:L,12,FALSE)</f>
        <v>0</v>
      </c>
      <c r="G60" s="95">
        <f>VLOOKUP($A60,工作表3!$A:M,13,FALSE)</f>
        <v>0</v>
      </c>
      <c r="H60" s="95">
        <f>VLOOKUP($A60,工作表3!$A:N,14,FALSE)</f>
        <v>0</v>
      </c>
      <c r="I60" s="95">
        <f>VLOOKUP($A60,工作表3!$A:O,15,FALSE)</f>
        <v>0</v>
      </c>
      <c r="J60" s="169"/>
    </row>
    <row r="61" spans="1:10">
      <c r="A61" s="99" t="s">
        <v>129</v>
      </c>
      <c r="B61" s="99">
        <v>1</v>
      </c>
      <c r="C61" s="169">
        <f>VLOOKUP($A61,工作表3!$A:I,9,FALSE)</f>
        <v>0.37</v>
      </c>
      <c r="D61" s="95">
        <f>VLOOKUP($A61,工作表3!$A:J,10,FALSE)</f>
        <v>0.17</v>
      </c>
      <c r="E61" s="95">
        <f>VLOOKUP($A61,工作表3!$A:K,11,FALSE)</f>
        <v>0</v>
      </c>
      <c r="F61" s="95">
        <f>VLOOKUP($A61,工作表3!$A:L,12,FALSE)</f>
        <v>0</v>
      </c>
      <c r="G61" s="95">
        <f>VLOOKUP($A61,工作表3!$A:M,13,FALSE)</f>
        <v>0</v>
      </c>
      <c r="H61" s="95">
        <f>VLOOKUP($A61,工作表3!$A:N,14,FALSE)</f>
        <v>0.7</v>
      </c>
      <c r="I61" s="95">
        <f>VLOOKUP($A61,工作表3!$A:O,15,FALSE)</f>
        <v>0</v>
      </c>
      <c r="J61" s="169"/>
    </row>
    <row r="62" spans="1:10">
      <c r="A62" s="99" t="s">
        <v>395</v>
      </c>
      <c r="B62" s="99">
        <v>1</v>
      </c>
      <c r="C62" s="169">
        <f>VLOOKUP($A62,工作表3!$A:I,9,FALSE)</f>
        <v>0.2</v>
      </c>
      <c r="D62" s="95">
        <f>VLOOKUP($A62,工作表3!$A:J,10,FALSE)</f>
        <v>0.2</v>
      </c>
      <c r="E62" s="95">
        <f>VLOOKUP($A62,工作表3!$A:K,11,FALSE)</f>
        <v>0</v>
      </c>
      <c r="F62" s="95">
        <f>VLOOKUP($A62,工作表3!$A:L,12,FALSE)</f>
        <v>0</v>
      </c>
      <c r="G62" s="95">
        <f>VLOOKUP($A62,工作表3!$A:M,13,FALSE)</f>
        <v>0</v>
      </c>
      <c r="H62" s="95">
        <f>VLOOKUP($A62,工作表3!$A:N,14,FALSE)</f>
        <v>0.2</v>
      </c>
      <c r="I62" s="95">
        <f>VLOOKUP($A62,工作表3!$A:O,15,FALSE)</f>
        <v>0</v>
      </c>
      <c r="J62" s="169"/>
    </row>
    <row r="63" spans="1:10">
      <c r="A63" s="99" t="s">
        <v>190</v>
      </c>
      <c r="B63" s="99">
        <v>1</v>
      </c>
      <c r="C63" s="169">
        <f>VLOOKUP($A63,工作表3!$A:I,9,FALSE)</f>
        <v>0.9</v>
      </c>
      <c r="D63" s="95">
        <f>VLOOKUP($A63,工作表3!$A:J,10,FALSE)</f>
        <v>0.5</v>
      </c>
      <c r="E63" s="95">
        <f>VLOOKUP($A63,工作表3!$A:K,11,FALSE)</f>
        <v>0</v>
      </c>
      <c r="F63" s="95">
        <f>VLOOKUP($A63,工作表3!$A:L,12,FALSE)</f>
        <v>0</v>
      </c>
      <c r="G63" s="95">
        <f>VLOOKUP($A63,工作表3!$A:M,13,FALSE)</f>
        <v>0</v>
      </c>
      <c r="H63" s="95">
        <f>VLOOKUP($A63,工作表3!$A:N,14,FALSE)</f>
        <v>0.6</v>
      </c>
      <c r="I63" s="95">
        <f>VLOOKUP($A63,工作表3!$A:O,15,FALSE)</f>
        <v>0</v>
      </c>
      <c r="J63" s="169"/>
    </row>
    <row r="64" spans="1:10">
      <c r="A64" s="99" t="s">
        <v>463</v>
      </c>
      <c r="B64" s="99">
        <v>1</v>
      </c>
      <c r="C64" s="169" t="e">
        <f>VLOOKUP($A64,工作表3!$A:I,9,FALSE)</f>
        <v>#N/A</v>
      </c>
      <c r="D64" s="95" t="e">
        <f>VLOOKUP($A64,工作表3!$A:J,10,FALSE)</f>
        <v>#N/A</v>
      </c>
      <c r="E64" s="95" t="e">
        <f>VLOOKUP($A64,工作表3!$A:K,11,FALSE)</f>
        <v>#N/A</v>
      </c>
      <c r="F64" s="95" t="e">
        <f>VLOOKUP($A64,工作表3!$A:L,12,FALSE)</f>
        <v>#N/A</v>
      </c>
      <c r="G64" s="95" t="e">
        <f>VLOOKUP($A64,工作表3!$A:M,13,FALSE)</f>
        <v>#N/A</v>
      </c>
      <c r="H64" s="95" t="e">
        <f>VLOOKUP($A64,工作表3!$A:N,14,FALSE)</f>
        <v>#N/A</v>
      </c>
      <c r="I64" s="95" t="e">
        <f>VLOOKUP($A64,工作表3!$A:O,15,FALSE)</f>
        <v>#N/A</v>
      </c>
      <c r="J64" s="169"/>
    </row>
    <row r="65" spans="1:10">
      <c r="A65" s="99" t="s">
        <v>409</v>
      </c>
      <c r="B65" s="99">
        <v>1</v>
      </c>
      <c r="C65" s="169">
        <f>VLOOKUP($A65,工作表3!$A:I,9,FALSE)</f>
        <v>3.4</v>
      </c>
      <c r="D65" s="95">
        <f>VLOOKUP($A65,工作表3!$A:J,10,FALSE)</f>
        <v>0</v>
      </c>
      <c r="E65" s="95">
        <f>VLOOKUP($A65,工作表3!$A:K,11,FALSE)</f>
        <v>0</v>
      </c>
      <c r="F65" s="95">
        <f>VLOOKUP($A65,工作表3!$A:L,12,FALSE)</f>
        <v>0</v>
      </c>
      <c r="G65" s="95">
        <f>VLOOKUP($A65,工作表3!$A:M,13,FALSE)</f>
        <v>0</v>
      </c>
      <c r="H65" s="95">
        <f>VLOOKUP($A65,工作表3!$A:N,14,FALSE)</f>
        <v>0.6</v>
      </c>
      <c r="I65" s="95">
        <f>VLOOKUP($A65,工作表3!$A:O,15,FALSE)</f>
        <v>0</v>
      </c>
      <c r="J65" s="169"/>
    </row>
    <row r="66" spans="1:10">
      <c r="A66" s="99" t="s">
        <v>147</v>
      </c>
      <c r="B66" s="99">
        <v>1</v>
      </c>
      <c r="C66" s="169">
        <f>VLOOKUP($A66,工作表3!$A:I,9,FALSE)</f>
        <v>1.57</v>
      </c>
      <c r="D66" s="95">
        <f>VLOOKUP($A66,工作表3!$A:J,10,FALSE)</f>
        <v>0</v>
      </c>
      <c r="E66" s="95">
        <f>VLOOKUP($A66,工作表3!$A:K,11,FALSE)</f>
        <v>0</v>
      </c>
      <c r="F66" s="95">
        <f>VLOOKUP($A66,工作表3!$A:L,12,FALSE)</f>
        <v>0</v>
      </c>
      <c r="G66" s="95">
        <f>VLOOKUP($A66,工作表3!$A:M,13,FALSE)</f>
        <v>0</v>
      </c>
      <c r="H66" s="95">
        <f>VLOOKUP($A66,工作表3!$A:N,14,FALSE)</f>
        <v>0</v>
      </c>
      <c r="I66" s="95">
        <f>VLOOKUP($A66,工作表3!$A:O,15,FALSE)</f>
        <v>0</v>
      </c>
      <c r="J66" s="169"/>
    </row>
    <row r="67" spans="1:10">
      <c r="A67" s="99" t="s">
        <v>148</v>
      </c>
      <c r="B67" s="99">
        <v>1</v>
      </c>
      <c r="C67" s="169">
        <v>0</v>
      </c>
      <c r="D67" s="95">
        <v>0</v>
      </c>
      <c r="E67" s="95">
        <v>0.5</v>
      </c>
      <c r="F67" s="95">
        <v>0</v>
      </c>
      <c r="G67" s="95">
        <v>0</v>
      </c>
      <c r="H67" s="95">
        <v>0</v>
      </c>
      <c r="I67" s="95">
        <v>0</v>
      </c>
      <c r="J67" s="169"/>
    </row>
    <row r="68" spans="1:10">
      <c r="A68" s="99" t="s">
        <v>173</v>
      </c>
      <c r="B68" s="99">
        <v>1</v>
      </c>
      <c r="C68" s="169">
        <f>VLOOKUP($A68,工作表3!$A:I,9,FALSE)</f>
        <v>0</v>
      </c>
      <c r="D68" s="95">
        <f>VLOOKUP($A68,工作表3!$A:J,10,FALSE)</f>
        <v>0</v>
      </c>
      <c r="E68" s="95">
        <f>VLOOKUP($A68,工作表3!$A:K,11,FALSE)</f>
        <v>0.5</v>
      </c>
      <c r="F68" s="95">
        <f>VLOOKUP($A68,工作表3!$A:L,12,FALSE)</f>
        <v>0</v>
      </c>
      <c r="G68" s="95">
        <f>VLOOKUP($A68,工作表3!$A:M,13,FALSE)</f>
        <v>0</v>
      </c>
      <c r="H68" s="95">
        <f>VLOOKUP($A68,工作表3!$A:N,14,FALSE)</f>
        <v>0</v>
      </c>
      <c r="I68" s="95">
        <f>VLOOKUP($A68,工作表3!$A:O,15,FALSE)</f>
        <v>0</v>
      </c>
      <c r="J68" s="169"/>
    </row>
    <row r="69" spans="1:10">
      <c r="A69" s="99" t="s">
        <v>424</v>
      </c>
      <c r="B69" s="99">
        <v>1</v>
      </c>
      <c r="C69" s="169">
        <f>VLOOKUP($A69,工作表3!$A:I,9,FALSE)</f>
        <v>1.5</v>
      </c>
      <c r="D69" s="95">
        <f>VLOOKUP($A69,工作表3!$A:J,10,FALSE)</f>
        <v>0</v>
      </c>
      <c r="E69" s="95">
        <f>VLOOKUP($A69,工作表3!$A:K,11,FALSE)</f>
        <v>0</v>
      </c>
      <c r="F69" s="95">
        <f>VLOOKUP($A69,工作表3!$A:L,12,FALSE)</f>
        <v>0</v>
      </c>
      <c r="G69" s="95">
        <f>VLOOKUP($A69,工作表3!$A:M,13,FALSE)</f>
        <v>0</v>
      </c>
      <c r="H69" s="95">
        <f>VLOOKUP($A69,工作表3!$A:N,14,FALSE)</f>
        <v>1.3</v>
      </c>
      <c r="I69" s="95">
        <f>VLOOKUP($A69,工作表3!$A:O,15,FALSE)</f>
        <v>10</v>
      </c>
      <c r="J69" s="169"/>
    </row>
    <row r="70" spans="1:10">
      <c r="A70" s="99" t="s">
        <v>400</v>
      </c>
      <c r="B70" s="99">
        <v>1</v>
      </c>
      <c r="C70" s="169">
        <v>0.8</v>
      </c>
      <c r="D70" s="95">
        <v>0</v>
      </c>
      <c r="E70" s="95">
        <v>0</v>
      </c>
      <c r="F70" s="95">
        <v>0</v>
      </c>
      <c r="G70" s="95">
        <v>0</v>
      </c>
      <c r="H70" s="95">
        <v>0.9</v>
      </c>
      <c r="I70" s="95">
        <v>10</v>
      </c>
      <c r="J70" s="169"/>
    </row>
    <row r="71" spans="1:10">
      <c r="A71" s="99" t="s">
        <v>359</v>
      </c>
      <c r="B71" s="99">
        <v>1</v>
      </c>
      <c r="C71" s="169">
        <f>VLOOKUP($A71,工作表3!$A:I,9,FALSE)</f>
        <v>1</v>
      </c>
      <c r="D71" s="95">
        <f>VLOOKUP($A71,工作表3!$A:J,10,FALSE)</f>
        <v>0</v>
      </c>
      <c r="E71" s="95">
        <f>VLOOKUP($A71,工作表3!$A:K,11,FALSE)</f>
        <v>0</v>
      </c>
      <c r="F71" s="95">
        <f>VLOOKUP($A71,工作表3!$A:L,12,FALSE)</f>
        <v>0</v>
      </c>
      <c r="G71" s="95">
        <f>VLOOKUP($A71,工作表3!$A:M,13,FALSE)</f>
        <v>0</v>
      </c>
      <c r="H71" s="95">
        <f>VLOOKUP($A71,工作表3!$A:N,14,FALSE)</f>
        <v>0</v>
      </c>
      <c r="I71" s="95">
        <f>VLOOKUP($A71,工作表3!$A:O,15,FALSE)</f>
        <v>0</v>
      </c>
      <c r="J71" s="169"/>
    </row>
    <row r="72" spans="1:10">
      <c r="A72" s="99" t="s">
        <v>128</v>
      </c>
      <c r="B72" s="99">
        <v>1</v>
      </c>
      <c r="C72" s="169">
        <f>VLOOKUP($A72,工作表3!$A:I,9,FALSE)</f>
        <v>0.8</v>
      </c>
      <c r="D72" s="95">
        <f>VLOOKUP($A72,工作表3!$A:J,10,FALSE)</f>
        <v>0</v>
      </c>
      <c r="E72" s="95">
        <f>VLOOKUP($A72,工作表3!$A:K,11,FALSE)</f>
        <v>0</v>
      </c>
      <c r="F72" s="95">
        <f>VLOOKUP($A72,工作表3!$A:L,12,FALSE)</f>
        <v>0</v>
      </c>
      <c r="G72" s="95">
        <f>VLOOKUP($A72,工作表3!$A:M,13,FALSE)</f>
        <v>0</v>
      </c>
      <c r="H72" s="95">
        <f>VLOOKUP($A72,工作表3!$A:N,14,FALSE)</f>
        <v>0</v>
      </c>
      <c r="I72" s="95">
        <f>VLOOKUP($A72,工作表3!$A:O,15,FALSE)</f>
        <v>0</v>
      </c>
      <c r="J72" s="169"/>
    </row>
    <row r="73" spans="1:10">
      <c r="A73" s="99" t="s">
        <v>296</v>
      </c>
      <c r="B73" s="99">
        <v>1</v>
      </c>
      <c r="C73" s="169">
        <v>0.8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169"/>
    </row>
    <row r="74" spans="1:10">
      <c r="A74" s="99" t="s">
        <v>172</v>
      </c>
      <c r="B74" s="99">
        <v>1</v>
      </c>
      <c r="C74" s="169">
        <f>VLOOKUP($A74,工作表3!$A:I,9,FALSE)</f>
        <v>3</v>
      </c>
      <c r="D74" s="95">
        <f>VLOOKUP($A74,工作表3!$A:J,10,FALSE)</f>
        <v>0</v>
      </c>
      <c r="E74" s="95">
        <f>VLOOKUP($A74,工作表3!$A:K,11,FALSE)</f>
        <v>0</v>
      </c>
      <c r="F74" s="95">
        <f>VLOOKUP($A74,工作表3!$A:L,12,FALSE)</f>
        <v>0</v>
      </c>
      <c r="G74" s="95">
        <f>VLOOKUP($A74,工作表3!$A:M,13,FALSE)</f>
        <v>0</v>
      </c>
      <c r="H74" s="95">
        <f>VLOOKUP($A74,工作表3!$A:N,14,FALSE)</f>
        <v>0</v>
      </c>
      <c r="I74" s="95">
        <f>VLOOKUP($A74,工作表3!$A:O,15,FALSE)</f>
        <v>0</v>
      </c>
      <c r="J74" s="169"/>
    </row>
    <row r="75" spans="1:10">
      <c r="A75" s="99" t="s">
        <v>1131</v>
      </c>
      <c r="B75" s="99"/>
      <c r="C75" s="169"/>
      <c r="J75" s="169"/>
    </row>
    <row r="76" spans="1:10">
      <c r="A76" s="99" t="s">
        <v>349</v>
      </c>
      <c r="B76" s="99">
        <v>1</v>
      </c>
      <c r="C76" s="169">
        <v>1.8</v>
      </c>
      <c r="D76" s="95">
        <v>0.5</v>
      </c>
      <c r="E76" s="95">
        <v>0</v>
      </c>
      <c r="F76" s="95">
        <v>0</v>
      </c>
      <c r="G76" s="95">
        <v>0</v>
      </c>
      <c r="H76" s="95">
        <v>0.8</v>
      </c>
      <c r="I76" s="95">
        <v>0</v>
      </c>
      <c r="J76" s="169"/>
    </row>
    <row r="77" spans="1:10">
      <c r="A77" s="99" t="s">
        <v>1122</v>
      </c>
      <c r="B77" s="99">
        <v>1</v>
      </c>
      <c r="C77" s="169">
        <v>1.8</v>
      </c>
      <c r="D77" s="95">
        <v>0.5</v>
      </c>
      <c r="E77" s="95">
        <v>0</v>
      </c>
      <c r="F77" s="95">
        <v>0</v>
      </c>
      <c r="G77" s="95">
        <v>0</v>
      </c>
      <c r="H77" s="95">
        <f>VLOOKUP($A77,工作表3!$A:N,14,FALSE)</f>
        <v>0.5</v>
      </c>
      <c r="I77" s="95">
        <v>0</v>
      </c>
      <c r="J77" s="169"/>
    </row>
    <row r="78" spans="1:10">
      <c r="A78" s="99" t="s">
        <v>916</v>
      </c>
      <c r="B78" s="99">
        <v>1</v>
      </c>
      <c r="C78" s="169">
        <f>VLOOKUP($A78,工作表3!$A:I,9,FALSE)</f>
        <v>1.8</v>
      </c>
      <c r="D78" s="95">
        <f>VLOOKUP($A78,工作表3!$A:J,10,FALSE)</f>
        <v>0.5</v>
      </c>
      <c r="E78" s="95">
        <f>VLOOKUP($A78,工作表3!$A:K,11,FALSE)</f>
        <v>0</v>
      </c>
      <c r="F78" s="95">
        <f>VLOOKUP($A78,工作表3!$A:L,12,FALSE)</f>
        <v>0</v>
      </c>
      <c r="G78" s="95">
        <f>VLOOKUP($A78,工作表3!$A:M,13,FALSE)</f>
        <v>0</v>
      </c>
      <c r="H78" s="95">
        <f>VLOOKUP($A78,工作表3!$A:N,14,FALSE)</f>
        <v>0.8</v>
      </c>
      <c r="I78" s="95">
        <f>VLOOKUP($A78,工作表3!$A:O,15,FALSE)</f>
        <v>0</v>
      </c>
      <c r="J78" s="169"/>
    </row>
    <row r="79" spans="1:10">
      <c r="A79" s="99" t="s">
        <v>180</v>
      </c>
      <c r="B79" s="99">
        <v>1</v>
      </c>
      <c r="C79" s="169">
        <f>VLOOKUP($A79,工作表3!$A:I,9,FALSE)</f>
        <v>2.2999999999999998</v>
      </c>
      <c r="D79" s="95">
        <f>VLOOKUP($A79,工作表3!$A:J,10,FALSE)</f>
        <v>0</v>
      </c>
      <c r="E79" s="95">
        <f>VLOOKUP($A79,工作表3!$A:K,11,FALSE)</f>
        <v>0</v>
      </c>
      <c r="F79" s="95">
        <f>VLOOKUP($A79,工作表3!$A:L,12,FALSE)</f>
        <v>0</v>
      </c>
      <c r="G79" s="95">
        <f>VLOOKUP($A79,工作表3!$A:M,13,FALSE)</f>
        <v>0</v>
      </c>
      <c r="H79" s="95">
        <f>VLOOKUP($A79,工作表3!$A:N,14,FALSE)</f>
        <v>1</v>
      </c>
      <c r="I79" s="95">
        <f>VLOOKUP($A79,工作表3!$A:O,15,FALSE)</f>
        <v>0</v>
      </c>
      <c r="J79" s="169"/>
    </row>
    <row r="80" spans="1:10">
      <c r="A80" s="99" t="s">
        <v>139</v>
      </c>
      <c r="B80" s="99">
        <v>1</v>
      </c>
      <c r="C80" s="169">
        <f>VLOOKUP($A80,工作表3!$A:I,9,FALSE)</f>
        <v>1</v>
      </c>
      <c r="D80" s="95">
        <f>VLOOKUP($A80,工作表3!$A:J,10,FALSE)</f>
        <v>0</v>
      </c>
      <c r="E80" s="95">
        <f>VLOOKUP($A80,工作表3!$A:K,11,FALSE)</f>
        <v>0</v>
      </c>
      <c r="F80" s="95">
        <f>VLOOKUP($A80,工作表3!$A:L,12,FALSE)</f>
        <v>0</v>
      </c>
      <c r="G80" s="95">
        <f>VLOOKUP($A80,工作表3!$A:M,13,FALSE)</f>
        <v>0</v>
      </c>
      <c r="H80" s="95">
        <f>VLOOKUP($A80,工作表3!$A:N,14,FALSE)</f>
        <v>0</v>
      </c>
      <c r="I80" s="95">
        <f>VLOOKUP($A80,工作表3!$A:O,15,FALSE)</f>
        <v>5</v>
      </c>
      <c r="J80" s="169"/>
    </row>
    <row r="81" spans="1:10">
      <c r="A81" s="99" t="s">
        <v>94</v>
      </c>
      <c r="B81" s="99">
        <v>1</v>
      </c>
      <c r="C81" s="169">
        <f>VLOOKUP($A81,工作表3!$A:I,9,FALSE)</f>
        <v>2.2000000000000002</v>
      </c>
      <c r="D81" s="95">
        <f>VLOOKUP($A81,工作表3!$A:J,10,FALSE)</f>
        <v>0</v>
      </c>
      <c r="E81" s="95">
        <f>VLOOKUP($A81,工作表3!$A:K,11,FALSE)</f>
        <v>0</v>
      </c>
      <c r="F81" s="95">
        <f>VLOOKUP($A81,工作表3!$A:L,12,FALSE)</f>
        <v>0</v>
      </c>
      <c r="G81" s="95">
        <f>VLOOKUP($A81,工作表3!$A:M,13,FALSE)</f>
        <v>0</v>
      </c>
      <c r="H81" s="95">
        <f>VLOOKUP($A81,工作表3!$A:N,14,FALSE)</f>
        <v>0</v>
      </c>
      <c r="I81" s="95">
        <f>VLOOKUP($A81,工作表3!$A:O,15,FALSE)</f>
        <v>18</v>
      </c>
      <c r="J81" s="169"/>
    </row>
    <row r="82" spans="1:10">
      <c r="A82" s="99" t="s">
        <v>57</v>
      </c>
      <c r="B82" s="99">
        <v>1</v>
      </c>
      <c r="C82" s="169">
        <v>2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169"/>
    </row>
    <row r="83" spans="1:10">
      <c r="A83" s="99" t="s">
        <v>446</v>
      </c>
      <c r="B83" s="99">
        <v>0.3</v>
      </c>
      <c r="C83" s="169"/>
      <c r="J83" s="169"/>
    </row>
    <row r="84" spans="1:10">
      <c r="A84" s="99" t="s">
        <v>376</v>
      </c>
      <c r="B84" s="99">
        <v>0.3</v>
      </c>
      <c r="C84" s="169"/>
      <c r="J84" s="169"/>
    </row>
    <row r="85" spans="1:10">
      <c r="A85" s="99" t="s">
        <v>289</v>
      </c>
      <c r="B85" s="99">
        <v>2.5000000000000001E-2</v>
      </c>
      <c r="C85" s="169"/>
      <c r="J85" s="169"/>
    </row>
    <row r="86" spans="1:10">
      <c r="A86" s="99" t="s">
        <v>416</v>
      </c>
      <c r="B86" s="99">
        <v>0.3</v>
      </c>
      <c r="C86" s="169"/>
      <c r="J86" s="169"/>
    </row>
    <row r="87" spans="1:10">
      <c r="A87" s="99" t="s">
        <v>454</v>
      </c>
      <c r="B87" s="99">
        <v>0.3</v>
      </c>
      <c r="C87" s="169"/>
      <c r="J87" s="169"/>
    </row>
    <row r="88" spans="1:10">
      <c r="A88" s="95" t="s">
        <v>69</v>
      </c>
      <c r="B88" s="95">
        <v>1</v>
      </c>
      <c r="C88" s="169">
        <f>VLOOKUP($A88,工作表3!$A:I,9,FALSE)</f>
        <v>0</v>
      </c>
      <c r="D88" s="95">
        <f>VLOOKUP($A88,工作表3!$A:J,10,FALSE)</f>
        <v>5.2</v>
      </c>
      <c r="E88" s="95">
        <f>VLOOKUP($A88,工作表3!$A:K,11,FALSE)</f>
        <v>0</v>
      </c>
      <c r="F88" s="95">
        <f>VLOOKUP($A88,工作表3!$A:L,12,FALSE)</f>
        <v>0</v>
      </c>
      <c r="G88" s="95">
        <f>VLOOKUP($A88,工作表3!$A:M,13,FALSE)</f>
        <v>0</v>
      </c>
      <c r="H88" s="95">
        <f>VLOOKUP($A88,工作表3!$A:N,14,FALSE)</f>
        <v>0</v>
      </c>
      <c r="I88" s="95">
        <f>VLOOKUP($A88,工作表3!$A:O,15,FALSE)</f>
        <v>0</v>
      </c>
      <c r="J88" s="169"/>
    </row>
    <row r="89" spans="1:10">
      <c r="A89" s="95" t="s">
        <v>140</v>
      </c>
      <c r="B89" s="95">
        <v>1</v>
      </c>
      <c r="C89" s="169">
        <f>VLOOKUP($A89,工作表3!$A:I,9,FALSE)</f>
        <v>0</v>
      </c>
      <c r="D89" s="95">
        <f>VLOOKUP($A89,工作表3!$A:J,10,FALSE)</f>
        <v>0</v>
      </c>
      <c r="E89" s="95">
        <f>VLOOKUP($A89,工作表3!$A:K,11,FALSE)</f>
        <v>4.2</v>
      </c>
      <c r="F89" s="95">
        <f>VLOOKUP($A89,工作表3!$A:L,12,FALSE)</f>
        <v>0</v>
      </c>
      <c r="G89" s="95">
        <f>VLOOKUP($A89,工作表3!$A:M,13,FALSE)</f>
        <v>0</v>
      </c>
      <c r="H89" s="95">
        <f>VLOOKUP($A89,工作表3!$A:N,14,FALSE)</f>
        <v>0</v>
      </c>
      <c r="I89" s="95">
        <f>VLOOKUP($A89,工作表3!$A:O,15,FALSE)</f>
        <v>0</v>
      </c>
      <c r="J89" s="169"/>
    </row>
    <row r="90" spans="1:10">
      <c r="A90" s="95" t="s">
        <v>402</v>
      </c>
      <c r="B90" s="95">
        <v>1</v>
      </c>
      <c r="C90" s="169">
        <f>VLOOKUP($A90,工作表3!$A:I,9,FALSE)</f>
        <v>0</v>
      </c>
      <c r="D90" s="95">
        <f>VLOOKUP($A90,工作表3!$A:J,10,FALSE)</f>
        <v>5</v>
      </c>
      <c r="E90" s="95">
        <f>VLOOKUP($A90,工作表3!$A:K,11,FALSE)</f>
        <v>0</v>
      </c>
      <c r="F90" s="95">
        <f>VLOOKUP($A90,工作表3!$A:L,12,FALSE)</f>
        <v>0</v>
      </c>
      <c r="G90" s="95">
        <f>VLOOKUP($A90,工作表3!$A:M,13,FALSE)</f>
        <v>0</v>
      </c>
      <c r="H90" s="95">
        <f>VLOOKUP($A90,工作表3!$A:N,14,FALSE)</f>
        <v>0</v>
      </c>
      <c r="I90" s="95">
        <f>VLOOKUP($A90,工作表3!$A:O,15,FALSE)</f>
        <v>0</v>
      </c>
      <c r="J90" s="169"/>
    </row>
    <row r="91" spans="1:10">
      <c r="A91" s="95" t="s">
        <v>247</v>
      </c>
      <c r="B91" s="95">
        <v>1</v>
      </c>
      <c r="C91" s="169"/>
      <c r="J91" s="169"/>
    </row>
    <row r="92" spans="1:10">
      <c r="A92" s="95" t="s">
        <v>398</v>
      </c>
      <c r="B92" s="95">
        <v>1</v>
      </c>
      <c r="C92" s="169"/>
      <c r="J92" s="169"/>
    </row>
    <row r="93" spans="1:10">
      <c r="A93" s="95" t="s">
        <v>450</v>
      </c>
      <c r="B93" s="95">
        <v>1</v>
      </c>
      <c r="C93" s="169"/>
      <c r="J93" s="169"/>
    </row>
    <row r="94" spans="1:10">
      <c r="A94" s="95" t="s">
        <v>299</v>
      </c>
      <c r="B94" s="95">
        <v>1</v>
      </c>
      <c r="C94" s="169"/>
      <c r="J94" s="169"/>
    </row>
    <row r="95" spans="1:10">
      <c r="A95" s="95" t="s">
        <v>300</v>
      </c>
      <c r="B95" s="95">
        <v>1</v>
      </c>
      <c r="C95" s="169"/>
      <c r="J95" s="169"/>
    </row>
    <row r="96" spans="1:10">
      <c r="A96" s="95" t="s">
        <v>303</v>
      </c>
      <c r="B96" s="95">
        <v>1</v>
      </c>
      <c r="C96" s="169">
        <f>VLOOKUP($A96,工作表3!$A:I,9,FALSE)</f>
        <v>66.666666666666671</v>
      </c>
      <c r="D96" s="95">
        <f>VLOOKUP($A96,工作表3!$A:J,10,FALSE)</f>
        <v>0</v>
      </c>
      <c r="E96" s="95">
        <f>VLOOKUP($A96,工作表3!$A:K,11,FALSE)</f>
        <v>0</v>
      </c>
      <c r="F96" s="95">
        <f>VLOOKUP($A96,工作表3!$A:L,12,FALSE)</f>
        <v>0</v>
      </c>
      <c r="G96" s="95">
        <f>VLOOKUP($A96,工作表3!$A:M,13,FALSE)</f>
        <v>0</v>
      </c>
      <c r="H96" s="95">
        <f>VLOOKUP($A96,工作表3!$A:N,14,FALSE)</f>
        <v>0</v>
      </c>
      <c r="I96" s="95">
        <f>VLOOKUP($A96,工作表3!$A:O,15,FALSE)</f>
        <v>0</v>
      </c>
      <c r="J96" s="169"/>
    </row>
    <row r="97" spans="1:10">
      <c r="A97" s="95" t="s">
        <v>301</v>
      </c>
      <c r="B97" s="95">
        <v>1</v>
      </c>
      <c r="C97" s="169">
        <f>VLOOKUP($A97,工作表3!$A:I,9,FALSE)</f>
        <v>66.666666666666671</v>
      </c>
      <c r="D97" s="95">
        <f>VLOOKUP($A97,工作表3!$A:J,10,FALSE)</f>
        <v>0</v>
      </c>
      <c r="E97" s="95">
        <f>VLOOKUP($A97,工作表3!$A:K,11,FALSE)</f>
        <v>0</v>
      </c>
      <c r="F97" s="95">
        <f>VLOOKUP($A97,工作表3!$A:L,12,FALSE)</f>
        <v>0</v>
      </c>
      <c r="G97" s="95">
        <f>VLOOKUP($A97,工作表3!$A:M,13,FALSE)</f>
        <v>0</v>
      </c>
      <c r="H97" s="95">
        <f>VLOOKUP($A97,工作表3!$A:N,14,FALSE)</f>
        <v>0</v>
      </c>
      <c r="I97" s="95">
        <f>VLOOKUP($A97,工作表3!$A:O,15,FALSE)</f>
        <v>0</v>
      </c>
      <c r="J97" s="169"/>
    </row>
    <row r="98" spans="1:10">
      <c r="A98" s="95" t="s">
        <v>1139</v>
      </c>
      <c r="B98" s="95">
        <v>1</v>
      </c>
      <c r="C98" s="169">
        <f>VLOOKUP($A98,工作表3!$A:I,9,FALSE)</f>
        <v>66.666666666666671</v>
      </c>
      <c r="D98" s="95">
        <f>VLOOKUP($A98,工作表3!$A:J,10,FALSE)</f>
        <v>0</v>
      </c>
      <c r="E98" s="95">
        <f>VLOOKUP($A98,工作表3!$A:K,11,FALSE)</f>
        <v>0</v>
      </c>
      <c r="F98" s="95">
        <f>VLOOKUP($A98,工作表3!$A:L,12,FALSE)</f>
        <v>0</v>
      </c>
      <c r="G98" s="95">
        <f>VLOOKUP($A98,工作表3!$A:M,13,FALSE)</f>
        <v>0</v>
      </c>
      <c r="H98" s="95">
        <f>VLOOKUP($A98,工作表3!$A:N,14,FALSE)</f>
        <v>0</v>
      </c>
      <c r="I98" s="95">
        <f>VLOOKUP($A98,工作表3!$A:O,15,FALSE)</f>
        <v>0</v>
      </c>
      <c r="J98" s="169"/>
    </row>
    <row r="99" spans="1:10">
      <c r="A99" s="95" t="s">
        <v>306</v>
      </c>
      <c r="B99" s="95">
        <v>1</v>
      </c>
      <c r="C99" s="169">
        <f>VLOOKUP($A99,工作表3!$A:I,9,FALSE)</f>
        <v>33.333333333333336</v>
      </c>
      <c r="D99" s="95">
        <f>VLOOKUP($A99,工作表3!$A:J,10,FALSE)</f>
        <v>0</v>
      </c>
      <c r="E99" s="95">
        <f>VLOOKUP($A99,工作表3!$A:K,11,FALSE)</f>
        <v>0</v>
      </c>
      <c r="F99" s="95">
        <f>VLOOKUP($A99,工作表3!$A:L,12,FALSE)</f>
        <v>0</v>
      </c>
      <c r="G99" s="95">
        <f>VLOOKUP($A99,工作表3!$A:M,13,FALSE)</f>
        <v>0</v>
      </c>
      <c r="H99" s="95">
        <f>VLOOKUP($A99,工作表3!$A:N,14,FALSE)</f>
        <v>0</v>
      </c>
      <c r="I99" s="95">
        <f>VLOOKUP($A99,工作表3!$A:O,15,FALSE)</f>
        <v>0</v>
      </c>
      <c r="J99" s="169"/>
    </row>
    <row r="100" spans="1:10">
      <c r="A100" s="95" t="s">
        <v>308</v>
      </c>
      <c r="B100" s="95">
        <v>1</v>
      </c>
      <c r="C100" s="169">
        <f>VLOOKUP($A100,工作表3!$A:I,9,FALSE)</f>
        <v>33.333333333333336</v>
      </c>
      <c r="D100" s="95">
        <f>VLOOKUP($A100,工作表3!$A:J,10,FALSE)</f>
        <v>0</v>
      </c>
      <c r="E100" s="95">
        <f>VLOOKUP($A100,工作表3!$A:K,11,FALSE)</f>
        <v>0</v>
      </c>
      <c r="F100" s="95">
        <f>VLOOKUP($A100,工作表3!$A:L,12,FALSE)</f>
        <v>0</v>
      </c>
      <c r="G100" s="95">
        <f>VLOOKUP($A100,工作表3!$A:M,13,FALSE)</f>
        <v>0</v>
      </c>
      <c r="H100" s="95">
        <f>VLOOKUP($A100,工作表3!$A:N,14,FALSE)</f>
        <v>0</v>
      </c>
      <c r="I100" s="95">
        <f>VLOOKUP($A100,工作表3!$A:O,15,FALSE)</f>
        <v>0</v>
      </c>
      <c r="J100" s="169"/>
    </row>
    <row r="101" spans="1:10">
      <c r="A101" s="95" t="s">
        <v>411</v>
      </c>
      <c r="B101" s="95">
        <v>1</v>
      </c>
      <c r="C101" s="169">
        <f>VLOOKUP($A101,工作表3!$A:I,9,FALSE)</f>
        <v>66.666666666666671</v>
      </c>
      <c r="D101" s="95">
        <f>VLOOKUP($A101,工作表3!$A:J,10,FALSE)</f>
        <v>0</v>
      </c>
      <c r="E101" s="95">
        <f>VLOOKUP($A101,工作表3!$A:K,11,FALSE)</f>
        <v>0</v>
      </c>
      <c r="F101" s="95">
        <f>VLOOKUP($A101,工作表3!$A:L,12,FALSE)</f>
        <v>0</v>
      </c>
      <c r="G101" s="95">
        <f>VLOOKUP($A101,工作表3!$A:M,13,FALSE)</f>
        <v>0</v>
      </c>
      <c r="H101" s="95">
        <f>VLOOKUP($A101,工作表3!$A:N,14,FALSE)</f>
        <v>0</v>
      </c>
      <c r="I101" s="95">
        <f>VLOOKUP($A101,工作表3!$A:O,15,FALSE)</f>
        <v>0</v>
      </c>
      <c r="J101" s="169"/>
    </row>
    <row r="102" spans="1:10">
      <c r="A102" s="95" t="s">
        <v>196</v>
      </c>
      <c r="B102" s="95">
        <v>0.3</v>
      </c>
      <c r="C102" s="169">
        <f>VLOOKUP($A102,工作表3!$A:I,9,FALSE)</f>
        <v>10</v>
      </c>
      <c r="D102" s="95">
        <f>VLOOKUP($A102,工作表3!$A:J,10,FALSE)</f>
        <v>0</v>
      </c>
      <c r="E102" s="95">
        <f>VLOOKUP($A102,工作表3!$A:K,11,FALSE)</f>
        <v>0</v>
      </c>
      <c r="F102" s="95">
        <f>VLOOKUP($A102,工作表3!$A:L,12,FALSE)</f>
        <v>0</v>
      </c>
      <c r="G102" s="95">
        <f>VLOOKUP($A102,工作表3!$A:M,13,FALSE)</f>
        <v>0</v>
      </c>
      <c r="H102" s="95">
        <f>VLOOKUP($A102,工作表3!$A:N,14,FALSE)</f>
        <v>0</v>
      </c>
      <c r="I102" s="95">
        <f>VLOOKUP($A102,工作表3!$A:O,15,FALSE)</f>
        <v>0</v>
      </c>
      <c r="J102" s="169"/>
    </row>
    <row r="103" spans="1:10">
      <c r="A103" s="95" t="s">
        <v>241</v>
      </c>
      <c r="B103" s="95">
        <v>1</v>
      </c>
      <c r="C103" s="169">
        <f>VLOOKUP($A103,工作表3!$A:I,9,FALSE)</f>
        <v>40</v>
      </c>
      <c r="D103" s="95">
        <f>VLOOKUP($A103,工作表3!$A:J,10,FALSE)</f>
        <v>0</v>
      </c>
      <c r="E103" s="95">
        <f>VLOOKUP($A103,工作表3!$A:K,11,FALSE)</f>
        <v>0</v>
      </c>
      <c r="F103" s="95">
        <f>VLOOKUP($A103,工作表3!$A:L,12,FALSE)</f>
        <v>0</v>
      </c>
      <c r="G103" s="95">
        <f>VLOOKUP($A103,工作表3!$A:M,13,FALSE)</f>
        <v>0</v>
      </c>
      <c r="H103" s="95">
        <f>VLOOKUP($A103,工作表3!$A:N,14,FALSE)</f>
        <v>0</v>
      </c>
      <c r="I103" s="95">
        <f>VLOOKUP($A103,工作表3!$A:O,15,FALSE)</f>
        <v>0</v>
      </c>
      <c r="J103" s="169"/>
    </row>
    <row r="104" spans="1:10">
      <c r="A104" s="95" t="s">
        <v>58</v>
      </c>
      <c r="B104" s="95">
        <v>1</v>
      </c>
      <c r="C104" s="169">
        <f>VLOOKUP($A104,工作表3!$A:I,9,FALSE)</f>
        <v>40</v>
      </c>
      <c r="D104" s="95">
        <f>VLOOKUP($A104,工作表3!$A:J,10,FALSE)</f>
        <v>0</v>
      </c>
      <c r="E104" s="95">
        <f>VLOOKUP($A104,工作表3!$A:K,11,FALSE)</f>
        <v>0</v>
      </c>
      <c r="F104" s="95">
        <f>VLOOKUP($A104,工作表3!$A:L,12,FALSE)</f>
        <v>0</v>
      </c>
      <c r="G104" s="95">
        <f>VLOOKUP($A104,工作表3!$A:M,13,FALSE)</f>
        <v>0</v>
      </c>
      <c r="H104" s="95">
        <f>VLOOKUP($A104,工作表3!$A:N,14,FALSE)</f>
        <v>0</v>
      </c>
      <c r="I104" s="95">
        <f>VLOOKUP($A104,工作表3!$A:O,15,FALSE)</f>
        <v>0</v>
      </c>
      <c r="J104" s="169"/>
    </row>
    <row r="105" spans="1:10">
      <c r="A105" s="95" t="s">
        <v>76</v>
      </c>
      <c r="B105" s="95">
        <v>1</v>
      </c>
      <c r="C105" s="169">
        <f>VLOOKUP($A105,工作表3!$A:I,9,FALSE)</f>
        <v>50</v>
      </c>
      <c r="D105" s="95">
        <f>VLOOKUP($A105,工作表3!$A:J,10,FALSE)</f>
        <v>0</v>
      </c>
      <c r="E105" s="95">
        <f>VLOOKUP($A105,工作表3!$A:K,11,FALSE)</f>
        <v>0</v>
      </c>
      <c r="F105" s="95">
        <f>VLOOKUP($A105,工作表3!$A:L,12,FALSE)</f>
        <v>0</v>
      </c>
      <c r="G105" s="95">
        <f>VLOOKUP($A105,工作表3!$A:M,13,FALSE)</f>
        <v>0</v>
      </c>
      <c r="H105" s="95">
        <f>VLOOKUP($A105,工作表3!$A:N,14,FALSE)</f>
        <v>0</v>
      </c>
      <c r="I105" s="95">
        <f>VLOOKUP($A105,工作表3!$A:O,15,FALSE)</f>
        <v>0</v>
      </c>
      <c r="J105" s="169"/>
    </row>
    <row r="106" spans="1:10">
      <c r="A106" s="95" t="s">
        <v>1135</v>
      </c>
      <c r="B106" s="95">
        <v>1</v>
      </c>
      <c r="C106" s="169">
        <f>VLOOKUP($A106,工作表3!$A:I,9,FALSE)</f>
        <v>50</v>
      </c>
      <c r="D106" s="95">
        <f>VLOOKUP($A106,工作表3!$A:J,10,FALSE)</f>
        <v>0</v>
      </c>
      <c r="E106" s="95">
        <f>VLOOKUP($A106,工作表3!$A:K,11,FALSE)</f>
        <v>0</v>
      </c>
      <c r="F106" s="95">
        <f>VLOOKUP($A106,工作表3!$A:L,12,FALSE)</f>
        <v>0</v>
      </c>
      <c r="G106" s="95">
        <f>VLOOKUP($A106,工作表3!$A:M,13,FALSE)</f>
        <v>0</v>
      </c>
      <c r="H106" s="95">
        <f>VLOOKUP($A106,工作表3!$A:N,14,FALSE)</f>
        <v>0</v>
      </c>
      <c r="I106" s="95">
        <f>VLOOKUP($A106,工作表3!$A:O,15,FALSE)</f>
        <v>0</v>
      </c>
      <c r="J106" s="169"/>
    </row>
    <row r="107" spans="1:10">
      <c r="A107" s="95" t="s">
        <v>371</v>
      </c>
      <c r="B107" s="95">
        <v>1</v>
      </c>
      <c r="C107" s="169">
        <f>VLOOKUP($A107,工作表3!$A:I,9,FALSE)</f>
        <v>50</v>
      </c>
      <c r="D107" s="95">
        <f>VLOOKUP($A107,工作表3!$A:J,10,FALSE)</f>
        <v>0</v>
      </c>
      <c r="E107" s="95">
        <f>VLOOKUP($A107,工作表3!$A:K,11,FALSE)</f>
        <v>0</v>
      </c>
      <c r="F107" s="95">
        <f>VLOOKUP($A107,工作表3!$A:L,12,FALSE)</f>
        <v>0</v>
      </c>
      <c r="G107" s="95">
        <f>VLOOKUP($A107,工作表3!$A:M,13,FALSE)</f>
        <v>0</v>
      </c>
      <c r="H107" s="95">
        <f>VLOOKUP($A107,工作表3!$A:N,14,FALSE)</f>
        <v>0</v>
      </c>
      <c r="I107" s="95">
        <f>VLOOKUP($A107,工作表3!$A:O,15,FALSE)</f>
        <v>0</v>
      </c>
      <c r="J107" s="169"/>
    </row>
    <row r="108" spans="1:10">
      <c r="A108" s="95" t="s">
        <v>12</v>
      </c>
      <c r="B108" s="95">
        <v>1</v>
      </c>
      <c r="C108" s="169">
        <f>VLOOKUP($A108,工作表3!$A:I,9,FALSE)</f>
        <v>50</v>
      </c>
      <c r="D108" s="95">
        <f>VLOOKUP($A108,工作表3!$A:J,10,FALSE)</f>
        <v>0</v>
      </c>
      <c r="E108" s="95">
        <f>VLOOKUP($A108,工作表3!$A:K,11,FALSE)</f>
        <v>0</v>
      </c>
      <c r="F108" s="95">
        <f>VLOOKUP($A108,工作表3!$A:L,12,FALSE)</f>
        <v>0</v>
      </c>
      <c r="G108" s="95">
        <f>VLOOKUP($A108,工作表3!$A:M,13,FALSE)</f>
        <v>0</v>
      </c>
      <c r="H108" s="95">
        <f>VLOOKUP($A108,工作表3!$A:N,14,FALSE)</f>
        <v>0</v>
      </c>
      <c r="I108" s="95">
        <f>VLOOKUP($A108,工作表3!$A:O,15,FALSE)</f>
        <v>0</v>
      </c>
      <c r="J108" s="169"/>
    </row>
    <row r="109" spans="1:10">
      <c r="A109" s="95" t="s">
        <v>200</v>
      </c>
      <c r="B109" s="95">
        <v>1</v>
      </c>
      <c r="C109" s="169">
        <f>VLOOKUP($A109,工作表3!$A:I,9,FALSE)</f>
        <v>66.666666666666671</v>
      </c>
      <c r="D109" s="95">
        <f>VLOOKUP($A109,工作表3!$A:J,10,FALSE)</f>
        <v>0</v>
      </c>
      <c r="E109" s="95">
        <f>VLOOKUP($A109,工作表3!$A:K,11,FALSE)</f>
        <v>0</v>
      </c>
      <c r="F109" s="95">
        <f>VLOOKUP($A109,工作表3!$A:L,12,FALSE)</f>
        <v>0</v>
      </c>
      <c r="G109" s="95">
        <f>VLOOKUP($A109,工作表3!$A:M,13,FALSE)</f>
        <v>0</v>
      </c>
      <c r="H109" s="95">
        <f>VLOOKUP($A109,工作表3!$A:N,14,FALSE)</f>
        <v>0</v>
      </c>
      <c r="I109" s="95">
        <f>VLOOKUP($A109,工作表3!$A:O,15,FALSE)</f>
        <v>0</v>
      </c>
      <c r="J109" s="169"/>
    </row>
    <row r="110" spans="1:10">
      <c r="A110" s="95" t="s">
        <v>381</v>
      </c>
      <c r="B110" s="95">
        <f>0.055*5</f>
        <v>0.27500000000000002</v>
      </c>
      <c r="C110" s="169">
        <f>VLOOKUP($A110,工作表3!$A:I,9,FALSE)*5/B110</f>
        <v>40</v>
      </c>
      <c r="D110" s="95">
        <f>VLOOKUP($A110,工作表3!$A:J,10,FALSE)</f>
        <v>0</v>
      </c>
      <c r="E110" s="95">
        <f>VLOOKUP($A110,工作表3!$A:K,11,FALSE)</f>
        <v>0</v>
      </c>
      <c r="F110" s="95">
        <f>VLOOKUP($A110,工作表3!$A:L,12,FALSE)</f>
        <v>0</v>
      </c>
      <c r="G110" s="95">
        <f>VLOOKUP($A110,工作表3!$A:M,13,FALSE)</f>
        <v>0</v>
      </c>
      <c r="H110" s="95">
        <f>VLOOKUP($A110,工作表3!$A:N,14,FALSE)</f>
        <v>0</v>
      </c>
      <c r="I110" s="95">
        <f>VLOOKUP($A110,工作表3!$A:O,15,FALSE)</f>
        <v>0</v>
      </c>
      <c r="J110" s="169"/>
    </row>
    <row r="111" spans="1:10">
      <c r="A111" s="95" t="s">
        <v>87</v>
      </c>
      <c r="B111" s="95">
        <v>1</v>
      </c>
      <c r="C111" s="169">
        <f>VLOOKUP($A111,工作表3!$A:I,9,FALSE)</f>
        <v>40</v>
      </c>
      <c r="D111" s="95">
        <f>VLOOKUP($A111,工作表3!$A:J,10,FALSE)</f>
        <v>0</v>
      </c>
      <c r="E111" s="95">
        <f>VLOOKUP($A111,工作表3!$A:K,11,FALSE)</f>
        <v>0</v>
      </c>
      <c r="F111" s="95">
        <f>VLOOKUP($A111,工作表3!$A:L,12,FALSE)</f>
        <v>0</v>
      </c>
      <c r="G111" s="95">
        <f>VLOOKUP($A111,工作表3!$A:M,13,FALSE)</f>
        <v>0</v>
      </c>
      <c r="H111" s="95">
        <f>VLOOKUP($A111,工作表3!$A:N,14,FALSE)</f>
        <v>0</v>
      </c>
      <c r="I111" s="95">
        <f>VLOOKUP($A111,工作表3!$A:O,15,FALSE)</f>
        <v>0</v>
      </c>
      <c r="J111" s="169"/>
    </row>
    <row r="112" spans="1:10">
      <c r="A112" s="95" t="s">
        <v>245</v>
      </c>
      <c r="B112" s="95">
        <v>0.4</v>
      </c>
      <c r="C112" s="169">
        <f>VLOOKUP($A112,工作表3!$A:I,9,FALSE)/B112</f>
        <v>40</v>
      </c>
      <c r="D112" s="95">
        <f>VLOOKUP($A112,工作表3!$A:J,10,FALSE)</f>
        <v>0</v>
      </c>
      <c r="E112" s="95">
        <f>VLOOKUP($A112,工作表3!$A:K,11,FALSE)</f>
        <v>0</v>
      </c>
      <c r="F112" s="95">
        <f>VLOOKUP($A112,工作表3!$A:L,12,FALSE)</f>
        <v>0</v>
      </c>
      <c r="G112" s="95">
        <f>VLOOKUP($A112,工作表3!$A:M,13,FALSE)</f>
        <v>0</v>
      </c>
      <c r="H112" s="95">
        <f>VLOOKUP($A112,工作表3!$A:N,14,FALSE)</f>
        <v>0</v>
      </c>
      <c r="I112" s="95">
        <f>VLOOKUP($A112,工作表3!$A:O,15,FALSE)</f>
        <v>0</v>
      </c>
      <c r="J112" s="169"/>
    </row>
    <row r="113" spans="1:10">
      <c r="A113" s="95" t="s">
        <v>435</v>
      </c>
      <c r="B113" s="95">
        <v>1</v>
      </c>
      <c r="C113" s="169">
        <f>VLOOKUP($A113,工作表3!$A:I,9,FALSE)</f>
        <v>22.222222222222221</v>
      </c>
      <c r="D113" s="95">
        <f>VLOOKUP($A113,工作表3!$A:J,10,FALSE)</f>
        <v>0</v>
      </c>
      <c r="E113" s="95">
        <f>VLOOKUP($A113,工作表3!$A:K,11,FALSE)</f>
        <v>0</v>
      </c>
      <c r="F113" s="95">
        <f>VLOOKUP($A113,工作表3!$A:L,12,FALSE)</f>
        <v>0</v>
      </c>
      <c r="G113" s="95">
        <f>VLOOKUP($A113,工作表3!$A:M,13,FALSE)</f>
        <v>0</v>
      </c>
      <c r="H113" s="95">
        <f>VLOOKUP($A113,工作表3!$A:N,14,FALSE)</f>
        <v>0</v>
      </c>
      <c r="I113" s="95">
        <f>VLOOKUP($A113,工作表3!$A:O,15,FALSE)</f>
        <v>0</v>
      </c>
      <c r="J113" s="169"/>
    </row>
    <row r="114" spans="1:10">
      <c r="A114" s="95" t="s">
        <v>192</v>
      </c>
      <c r="B114" s="95">
        <v>1</v>
      </c>
      <c r="C114" s="169">
        <f>VLOOKUP($A114,工作表3!$A:I,9,FALSE)</f>
        <v>22.222222222222221</v>
      </c>
      <c r="D114" s="95">
        <f>VLOOKUP($A114,工作表3!$A:J,10,FALSE)</f>
        <v>0</v>
      </c>
      <c r="E114" s="95">
        <f>VLOOKUP($A114,工作表3!$A:K,11,FALSE)</f>
        <v>0</v>
      </c>
      <c r="F114" s="95">
        <f>VLOOKUP($A114,工作表3!$A:L,12,FALSE)</f>
        <v>0</v>
      </c>
      <c r="G114" s="95">
        <f>VLOOKUP($A114,工作表3!$A:M,13,FALSE)</f>
        <v>0</v>
      </c>
      <c r="H114" s="95">
        <f>VLOOKUP($A114,工作表3!$A:N,14,FALSE)</f>
        <v>0</v>
      </c>
      <c r="I114" s="95">
        <f>VLOOKUP($A114,工作表3!$A:O,15,FALSE)</f>
        <v>0</v>
      </c>
      <c r="J114" s="169"/>
    </row>
    <row r="115" spans="1:10">
      <c r="A115" s="95" t="s">
        <v>324</v>
      </c>
      <c r="B115" s="95">
        <v>1</v>
      </c>
      <c r="C115" s="169">
        <v>33</v>
      </c>
      <c r="J115" s="169"/>
    </row>
    <row r="116" spans="1:10">
      <c r="A116" s="95" t="s">
        <v>164</v>
      </c>
      <c r="B116" s="95">
        <v>1</v>
      </c>
      <c r="C116" s="169">
        <f>VLOOKUP($A116,工作表3!$A:I,9,FALSE)</f>
        <v>16.666666666666668</v>
      </c>
      <c r="D116" s="95">
        <f>VLOOKUP($A116,工作表3!$A:J,10,FALSE)</f>
        <v>0</v>
      </c>
      <c r="E116" s="95">
        <f>VLOOKUP($A116,工作表3!$A:K,11,FALSE)</f>
        <v>0</v>
      </c>
      <c r="F116" s="95">
        <f>VLOOKUP($A116,工作表3!$A:L,12,FALSE)</f>
        <v>0</v>
      </c>
      <c r="G116" s="95">
        <f>VLOOKUP($A116,工作表3!$A:M,13,FALSE)</f>
        <v>0</v>
      </c>
      <c r="H116" s="95">
        <f>VLOOKUP($A116,工作表3!$A:N,14,FALSE)</f>
        <v>0</v>
      </c>
      <c r="I116" s="95">
        <f>VLOOKUP($A116,工作表3!$A:O,15,FALSE)</f>
        <v>0</v>
      </c>
      <c r="J116" s="169"/>
    </row>
    <row r="117" spans="1:10">
      <c r="A117" s="95" t="s">
        <v>368</v>
      </c>
      <c r="B117" s="95">
        <v>1</v>
      </c>
      <c r="C117" s="169">
        <v>16.666666666666668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69"/>
    </row>
    <row r="118" spans="1:10">
      <c r="A118" s="95" t="s">
        <v>73</v>
      </c>
      <c r="B118" s="95">
        <v>1</v>
      </c>
      <c r="C118" s="169">
        <f>VLOOKUP($A118,工作表3!$A:I,9,FALSE)</f>
        <v>16.666666666666668</v>
      </c>
      <c r="D118" s="95">
        <f>VLOOKUP($A118,工作表3!$A:J,10,FALSE)</f>
        <v>0</v>
      </c>
      <c r="E118" s="95">
        <f>VLOOKUP($A118,工作表3!$A:K,11,FALSE)</f>
        <v>0</v>
      </c>
      <c r="F118" s="95">
        <f>VLOOKUP($A118,工作表3!$A:L,12,FALSE)</f>
        <v>0</v>
      </c>
      <c r="G118" s="95">
        <f>VLOOKUP($A118,工作表3!$A:M,13,FALSE)</f>
        <v>0</v>
      </c>
      <c r="H118" s="95">
        <f>VLOOKUP($A118,工作表3!$A:N,14,FALSE)</f>
        <v>0</v>
      </c>
      <c r="I118" s="95">
        <f>VLOOKUP($A118,工作表3!$A:O,15,FALSE)</f>
        <v>0</v>
      </c>
      <c r="J118" s="169"/>
    </row>
    <row r="119" spans="1:10">
      <c r="A119" s="95" t="s">
        <v>231</v>
      </c>
      <c r="B119" s="95">
        <v>1</v>
      </c>
      <c r="C119" s="169">
        <f>VLOOKUP($A119,工作表3!$A:I,9,FALSE)</f>
        <v>20</v>
      </c>
      <c r="D119" s="95">
        <f>VLOOKUP($A119,工作表3!$A:J,10,FALSE)</f>
        <v>0</v>
      </c>
      <c r="E119" s="95">
        <f>VLOOKUP($A119,工作表3!$A:K,11,FALSE)</f>
        <v>0</v>
      </c>
      <c r="F119" s="95">
        <f>VLOOKUP($A119,工作表3!$A:L,12,FALSE)</f>
        <v>0</v>
      </c>
      <c r="G119" s="95">
        <f>VLOOKUP($A119,工作表3!$A:M,13,FALSE)</f>
        <v>0</v>
      </c>
      <c r="H119" s="95">
        <f>VLOOKUP($A119,工作表3!$A:N,14,FALSE)</f>
        <v>0</v>
      </c>
      <c r="I119" s="95">
        <f>VLOOKUP($A119,工作表3!$A:O,15,FALSE)</f>
        <v>0</v>
      </c>
      <c r="J119" s="169"/>
    </row>
    <row r="120" spans="1:10">
      <c r="A120" s="95" t="s">
        <v>1217</v>
      </c>
      <c r="B120" s="95">
        <v>1</v>
      </c>
      <c r="C120" s="169">
        <f>VLOOKUP($A120,工作表3!$A:I,9,FALSE)</f>
        <v>40</v>
      </c>
      <c r="D120" s="95">
        <f>VLOOKUP($A120,工作表3!$A:J,10,FALSE)</f>
        <v>0</v>
      </c>
      <c r="E120" s="95">
        <f>VLOOKUP($A120,工作表3!$A:K,11,FALSE)</f>
        <v>0</v>
      </c>
      <c r="F120" s="95">
        <f>VLOOKUP($A120,工作表3!$A:L,12,FALSE)</f>
        <v>0</v>
      </c>
      <c r="G120" s="95">
        <f>VLOOKUP($A120,工作表3!$A:M,13,FALSE)</f>
        <v>0</v>
      </c>
      <c r="H120" s="95">
        <f>VLOOKUP($A120,工作表3!$A:N,14,FALSE)</f>
        <v>0</v>
      </c>
      <c r="I120" s="95">
        <f>VLOOKUP($A120,工作表3!$A:O,15,FALSE)</f>
        <v>0</v>
      </c>
      <c r="J120" s="169"/>
    </row>
    <row r="121" spans="1:10">
      <c r="A121" s="95" t="s">
        <v>404</v>
      </c>
      <c r="B121" s="95">
        <v>1</v>
      </c>
      <c r="C121" s="169">
        <f>VLOOKUP($A121,工作表3!$A:I,9,FALSE)</f>
        <v>40</v>
      </c>
      <c r="D121" s="95">
        <f>VLOOKUP($A121,工作表3!$A:J,10,FALSE)</f>
        <v>0</v>
      </c>
      <c r="E121" s="95">
        <f>VLOOKUP($A121,工作表3!$A:K,11,FALSE)</f>
        <v>0</v>
      </c>
      <c r="F121" s="95">
        <f>VLOOKUP($A121,工作表3!$A:L,12,FALSE)</f>
        <v>0</v>
      </c>
      <c r="G121" s="95">
        <f>VLOOKUP($A121,工作表3!$A:M,13,FALSE)</f>
        <v>0</v>
      </c>
      <c r="H121" s="95">
        <f>VLOOKUP($A121,工作表3!$A:N,14,FALSE)</f>
        <v>0</v>
      </c>
      <c r="I121" s="95">
        <f>VLOOKUP($A121,工作表3!$A:O,15,FALSE)</f>
        <v>0</v>
      </c>
      <c r="J121" s="169"/>
    </row>
    <row r="122" spans="1:10">
      <c r="A122" s="95" t="s">
        <v>917</v>
      </c>
      <c r="B122" s="95">
        <v>1</v>
      </c>
      <c r="C122" s="169">
        <f>VLOOKUP($A122,工作表3!$A:I,9,FALSE)</f>
        <v>40</v>
      </c>
      <c r="D122" s="95">
        <f>VLOOKUP($A122,工作表3!$A:J,10,FALSE)</f>
        <v>0</v>
      </c>
      <c r="E122" s="95">
        <f>VLOOKUP($A122,工作表3!$A:K,11,FALSE)</f>
        <v>0</v>
      </c>
      <c r="F122" s="95">
        <f>VLOOKUP($A122,工作表3!$A:L,12,FALSE)</f>
        <v>0</v>
      </c>
      <c r="G122" s="95">
        <f>VLOOKUP($A122,工作表3!$A:M,13,FALSE)</f>
        <v>0</v>
      </c>
      <c r="H122" s="95">
        <f>VLOOKUP($A122,工作表3!$A:N,14,FALSE)</f>
        <v>0</v>
      </c>
      <c r="I122" s="95">
        <f>VLOOKUP($A122,工作表3!$A:O,15,FALSE)</f>
        <v>0</v>
      </c>
      <c r="J122" s="169"/>
    </row>
    <row r="123" spans="1:10">
      <c r="A123" s="95" t="s">
        <v>314</v>
      </c>
      <c r="B123" s="95">
        <v>1</v>
      </c>
      <c r="C123" s="169">
        <v>40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69"/>
    </row>
    <row r="124" spans="1:10">
      <c r="A124" s="95" t="s">
        <v>251</v>
      </c>
      <c r="B124" s="95">
        <v>0.5</v>
      </c>
      <c r="C124" s="169">
        <f>VLOOKUP($A124,工作表3!$A:I,9,FALSE)</f>
        <v>25</v>
      </c>
      <c r="D124" s="95">
        <f>VLOOKUP($A124,工作表3!$A:J,10,FALSE)</f>
        <v>0</v>
      </c>
      <c r="E124" s="95">
        <f>VLOOKUP($A124,工作表3!$A:K,11,FALSE)</f>
        <v>0</v>
      </c>
      <c r="F124" s="95">
        <f>VLOOKUP($A124,工作表3!$A:L,12,FALSE)</f>
        <v>0</v>
      </c>
      <c r="G124" s="95">
        <f>VLOOKUP($A124,工作表3!$A:M,13,FALSE)</f>
        <v>0</v>
      </c>
      <c r="H124" s="95">
        <f>VLOOKUP($A124,工作表3!$A:N,14,FALSE)</f>
        <v>0</v>
      </c>
      <c r="I124" s="95">
        <f>VLOOKUP($A124,工作表3!$A:O,15,FALSE)</f>
        <v>0</v>
      </c>
      <c r="J124" s="169"/>
    </row>
    <row r="125" spans="1:10">
      <c r="A125" s="95" t="s">
        <v>426</v>
      </c>
      <c r="B125" s="95">
        <v>0.5</v>
      </c>
      <c r="C125" s="169">
        <v>25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69"/>
    </row>
    <row r="126" spans="1:10">
      <c r="A126" s="95" t="s">
        <v>924</v>
      </c>
      <c r="B126" s="95">
        <v>1</v>
      </c>
      <c r="C126" s="169">
        <f>VLOOKUP($A126,工作表3!$A:I,9,FALSE)</f>
        <v>20</v>
      </c>
      <c r="D126" s="95">
        <f>VLOOKUP($A126,工作表3!$A:J,10,FALSE)</f>
        <v>0</v>
      </c>
      <c r="E126" s="95">
        <f>VLOOKUP($A126,工作表3!$A:K,11,FALSE)</f>
        <v>0</v>
      </c>
      <c r="F126" s="95">
        <f>VLOOKUP($A126,工作表3!$A:L,12,FALSE)</f>
        <v>0</v>
      </c>
      <c r="G126" s="95">
        <f>VLOOKUP($A126,工作表3!$A:M,13,FALSE)</f>
        <v>0</v>
      </c>
      <c r="H126" s="95">
        <f>VLOOKUP($A126,工作表3!$A:N,14,FALSE)</f>
        <v>0</v>
      </c>
      <c r="I126" s="95">
        <f>VLOOKUP($A126,工作表3!$A:O,15,FALSE)</f>
        <v>0</v>
      </c>
      <c r="J126" s="169"/>
    </row>
    <row r="127" spans="1:10">
      <c r="A127" s="95" t="s">
        <v>925</v>
      </c>
      <c r="B127" s="95">
        <v>1</v>
      </c>
      <c r="C127" s="169">
        <f>VLOOKUP($A127,工作表3!$A:I,9,FALSE)</f>
        <v>2</v>
      </c>
      <c r="D127" s="95">
        <f>VLOOKUP($A127,工作表3!$A:J,10,FALSE)</f>
        <v>0</v>
      </c>
      <c r="E127" s="95">
        <f>VLOOKUP($A127,工作表3!$A:K,11,FALSE)</f>
        <v>0</v>
      </c>
      <c r="F127" s="95">
        <f>VLOOKUP($A127,工作表3!$A:L,12,FALSE)</f>
        <v>0</v>
      </c>
      <c r="G127" s="95">
        <f>VLOOKUP($A127,工作表3!$A:M,13,FALSE)</f>
        <v>0</v>
      </c>
      <c r="H127" s="95">
        <f>VLOOKUP($A127,工作表3!$A:N,14,FALSE)</f>
        <v>0</v>
      </c>
      <c r="I127" s="95">
        <f>VLOOKUP($A127,工作表3!$A:O,15,FALSE)</f>
        <v>0</v>
      </c>
      <c r="J127" s="169"/>
    </row>
    <row r="128" spans="1:10">
      <c r="A128" s="95" t="s">
        <v>1145</v>
      </c>
      <c r="B128" s="95">
        <v>0.35</v>
      </c>
      <c r="C128" s="169">
        <f>VLOOKUP($A128,工作表3!$A:I,9,FALSE)/B128</f>
        <v>66.857142857142861</v>
      </c>
      <c r="D128" s="95">
        <f>VLOOKUP($A128,工作表3!$A:J,10,FALSE)</f>
        <v>0</v>
      </c>
      <c r="E128" s="95">
        <f>VLOOKUP($A128,工作表3!$A:K,11,FALSE)</f>
        <v>0</v>
      </c>
      <c r="F128" s="95">
        <f>VLOOKUP($A128,工作表3!$A:L,12,FALSE)</f>
        <v>0</v>
      </c>
      <c r="G128" s="95">
        <f>VLOOKUP($A128,工作表3!$A:M,13,FALSE)</f>
        <v>0</v>
      </c>
      <c r="H128" s="95">
        <f>VLOOKUP($A128,工作表3!$A:N,14,FALSE)</f>
        <v>0</v>
      </c>
      <c r="I128" s="95">
        <f>VLOOKUP($A128,工作表3!$A:O,15,FALSE)/B128</f>
        <v>285.71428571428572</v>
      </c>
      <c r="J128" s="169"/>
    </row>
    <row r="129" spans="1:10">
      <c r="A129" s="95" t="s">
        <v>1146</v>
      </c>
      <c r="B129" s="95">
        <v>0.17499999999999999</v>
      </c>
      <c r="C129" s="169">
        <f>VLOOKUP($A129,工作表3!$A:I,9,FALSE)/B129</f>
        <v>68.571428571428569</v>
      </c>
      <c r="D129" s="95">
        <f>VLOOKUP($A129,工作表3!$A:J,10,FALSE)</f>
        <v>0</v>
      </c>
      <c r="E129" s="95">
        <f>VLOOKUP($A129,工作表3!$A:K,11,FALSE)</f>
        <v>0</v>
      </c>
      <c r="F129" s="95">
        <f>VLOOKUP($A129,工作表3!$A:L,12,FALSE)</f>
        <v>0</v>
      </c>
      <c r="G129" s="95">
        <f>VLOOKUP($A129,工作表3!$A:M,13,FALSE)</f>
        <v>0</v>
      </c>
      <c r="H129" s="95">
        <f>VLOOKUP($A129,工作表3!$A:N,14,FALSE)</f>
        <v>0</v>
      </c>
      <c r="I129" s="95">
        <f>VLOOKUP($A129,工作表3!$A:O,15,FALSE)/B129</f>
        <v>285.71428571428572</v>
      </c>
      <c r="J129" s="169"/>
    </row>
    <row r="130" spans="1:10">
      <c r="A130" s="95" t="s">
        <v>101</v>
      </c>
      <c r="B130" s="95">
        <v>1</v>
      </c>
      <c r="C130" s="169">
        <v>11.764705882352942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69"/>
    </row>
    <row r="131" spans="1:10">
      <c r="A131" s="95" t="s">
        <v>259</v>
      </c>
      <c r="B131" s="95">
        <v>0.34</v>
      </c>
      <c r="C131" s="169">
        <v>11.76470588235294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69"/>
    </row>
    <row r="132" spans="1:10">
      <c r="A132" s="95" t="s">
        <v>405</v>
      </c>
      <c r="B132" s="95">
        <v>0.34</v>
      </c>
      <c r="C132" s="169">
        <v>11.76470588235294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69"/>
    </row>
    <row r="133" spans="1:10">
      <c r="A133" s="95" t="s">
        <v>153</v>
      </c>
      <c r="B133" s="95">
        <v>0.34</v>
      </c>
      <c r="C133" s="169">
        <f>VLOOKUP($A133,工作表3!$A:I,9,FALSE)/B133</f>
        <v>11.76470588235294</v>
      </c>
      <c r="D133" s="95">
        <f>VLOOKUP($A133,工作表3!$A:J,10,FALSE)</f>
        <v>0</v>
      </c>
      <c r="E133" s="95">
        <f>VLOOKUP($A133,工作表3!$A:K,11,FALSE)</f>
        <v>0</v>
      </c>
      <c r="F133" s="95">
        <f>VLOOKUP($A133,工作表3!$A:L,12,FALSE)</f>
        <v>0</v>
      </c>
      <c r="G133" s="95">
        <f>VLOOKUP($A133,工作表3!$A:M,13,FALSE)</f>
        <v>0</v>
      </c>
      <c r="H133" s="95">
        <f>VLOOKUP($A133,工作表3!$A:N,14,FALSE)</f>
        <v>0</v>
      </c>
      <c r="I133" s="95">
        <f>VLOOKUP($A133,工作表3!$A:O,15,FALSE)</f>
        <v>0</v>
      </c>
      <c r="J133" s="169"/>
    </row>
    <row r="134" spans="1:10">
      <c r="A134" s="95" t="s">
        <v>194</v>
      </c>
      <c r="B134" s="95">
        <v>0.34</v>
      </c>
      <c r="C134" s="169">
        <f>VLOOKUP($A134,工作表3!$A:I,9,FALSE)</f>
        <v>11.764705882352942</v>
      </c>
      <c r="D134" s="95">
        <f>VLOOKUP($A134,工作表3!$A:J,10,FALSE)</f>
        <v>0</v>
      </c>
      <c r="E134" s="95">
        <f>VLOOKUP($A134,工作表3!$A:K,11,FALSE)</f>
        <v>0</v>
      </c>
      <c r="F134" s="95">
        <f>VLOOKUP($A134,工作表3!$A:L,12,FALSE)</f>
        <v>0</v>
      </c>
      <c r="G134" s="95">
        <f>VLOOKUP($A134,工作表3!$A:M,13,FALSE)</f>
        <v>0</v>
      </c>
      <c r="H134" s="95">
        <f>VLOOKUP($A134,工作表3!$A:N,14,FALSE)</f>
        <v>0</v>
      </c>
      <c r="I134" s="95">
        <f>VLOOKUP($A134,工作表3!$A:O,15,FALSE)</f>
        <v>0</v>
      </c>
      <c r="J134" s="169"/>
    </row>
    <row r="135" spans="1:10">
      <c r="A135" s="95" t="s">
        <v>260</v>
      </c>
      <c r="B135" s="95">
        <v>0.41799999999999998</v>
      </c>
      <c r="C135" s="169">
        <v>9.5693779904306222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69"/>
    </row>
    <row r="136" spans="1:10">
      <c r="A136" s="95" t="s">
        <v>262</v>
      </c>
      <c r="B136" s="95">
        <v>0.41799999999999998</v>
      </c>
      <c r="C136" s="169">
        <f>VLOOKUP($A136,工作表3!$A:I,9,FALSE)/B136</f>
        <v>9.5693779904306222</v>
      </c>
      <c r="D136" s="95">
        <f>VLOOKUP($A136,工作表3!$A:J,10,FALSE)</f>
        <v>0</v>
      </c>
      <c r="E136" s="95">
        <f>VLOOKUP($A136,工作表3!$A:K,11,FALSE)</f>
        <v>0</v>
      </c>
      <c r="F136" s="95">
        <f>VLOOKUP($A136,工作表3!$A:L,12,FALSE)</f>
        <v>0</v>
      </c>
      <c r="G136" s="95">
        <f>VLOOKUP($A136,工作表3!$A:M,13,FALSE)</f>
        <v>0</v>
      </c>
      <c r="H136" s="95">
        <f>VLOOKUP($A136,工作表3!$A:N,14,FALSE)</f>
        <v>0</v>
      </c>
      <c r="I136" s="95">
        <f>VLOOKUP($A136,工作表3!$A:O,15,FALSE)</f>
        <v>0</v>
      </c>
      <c r="J136" s="169"/>
    </row>
    <row r="137" spans="1:10">
      <c r="A137" s="95" t="s">
        <v>219</v>
      </c>
      <c r="B137" s="95">
        <v>1</v>
      </c>
      <c r="C137" s="169">
        <f>VLOOKUP($A137,工作表3!$A:I,9,FALSE)</f>
        <v>12.5</v>
      </c>
      <c r="D137" s="95">
        <f>VLOOKUP($A137,工作表3!$A:J,10,FALSE)</f>
        <v>0</v>
      </c>
      <c r="E137" s="95">
        <f>VLOOKUP($A137,工作表3!$A:K,11,FALSE)</f>
        <v>0</v>
      </c>
      <c r="F137" s="95">
        <f>VLOOKUP($A137,工作表3!$A:L,12,FALSE)</f>
        <v>0</v>
      </c>
      <c r="G137" s="95">
        <f>VLOOKUP($A137,工作表3!$A:M,13,FALSE)</f>
        <v>0</v>
      </c>
      <c r="H137" s="95">
        <f>VLOOKUP($A137,工作表3!$A:N,14,FALSE)</f>
        <v>0</v>
      </c>
      <c r="I137" s="95">
        <f>VLOOKUP($A137,工作表3!$A:O,15,FALSE)</f>
        <v>0</v>
      </c>
      <c r="J137" s="169"/>
    </row>
    <row r="138" spans="1:10">
      <c r="A138" s="95" t="s">
        <v>273</v>
      </c>
      <c r="B138" s="95">
        <v>1</v>
      </c>
      <c r="C138" s="169">
        <f>VLOOKUP($A138,工作表3!$A:I,9,FALSE)</f>
        <v>11.111111111111111</v>
      </c>
      <c r="D138" s="95">
        <f>VLOOKUP($A138,工作表3!$A:J,10,FALSE)</f>
        <v>0</v>
      </c>
      <c r="E138" s="95">
        <f>VLOOKUP($A138,工作表3!$A:K,11,FALSE)</f>
        <v>0</v>
      </c>
      <c r="F138" s="95">
        <f>VLOOKUP($A138,工作表3!$A:L,12,FALSE)</f>
        <v>0</v>
      </c>
      <c r="G138" s="95">
        <f>VLOOKUP($A138,工作表3!$A:M,13,FALSE)</f>
        <v>0</v>
      </c>
      <c r="H138" s="95">
        <f>VLOOKUP($A138,工作表3!$A:N,14,FALSE)</f>
        <v>0</v>
      </c>
      <c r="I138" s="95">
        <f>VLOOKUP($A138,工作表3!$A:O,15,FALSE)</f>
        <v>0</v>
      </c>
      <c r="J138" s="169"/>
    </row>
    <row r="139" spans="1:10">
      <c r="A139" s="95" t="s">
        <v>163</v>
      </c>
      <c r="B139" s="95">
        <v>1</v>
      </c>
      <c r="C139" s="169">
        <f>VLOOKUP($A139,工作表3!$A:I,9,FALSE)</f>
        <v>11.111111111111111</v>
      </c>
      <c r="D139" s="95">
        <f>VLOOKUP($A139,工作表3!$A:J,10,FALSE)</f>
        <v>0</v>
      </c>
      <c r="E139" s="95">
        <f>VLOOKUP($A139,工作表3!$A:K,11,FALSE)</f>
        <v>0</v>
      </c>
      <c r="F139" s="95">
        <f>VLOOKUP($A139,工作表3!$A:L,12,FALSE)</f>
        <v>0</v>
      </c>
      <c r="G139" s="95">
        <f>VLOOKUP($A139,工作表3!$A:M,13,FALSE)</f>
        <v>0</v>
      </c>
      <c r="H139" s="95">
        <f>VLOOKUP($A139,工作表3!$A:N,14,FALSE)</f>
        <v>0</v>
      </c>
      <c r="I139" s="95">
        <f>VLOOKUP($A139,工作表3!$A:O,15,FALSE)</f>
        <v>0</v>
      </c>
      <c r="J139" s="169"/>
    </row>
    <row r="140" spans="1:10">
      <c r="A140" s="95" t="s">
        <v>1138</v>
      </c>
      <c r="B140" s="95">
        <v>1</v>
      </c>
      <c r="C140" s="169">
        <f>VLOOKUP($A140,工作表3!$A:I,9,FALSE)</f>
        <v>18.181818181818183</v>
      </c>
      <c r="D140" s="95">
        <f>VLOOKUP($A140,工作表3!$A:J,10,FALSE)</f>
        <v>0</v>
      </c>
      <c r="E140" s="95">
        <f>VLOOKUP($A140,工作表3!$A:K,11,FALSE)</f>
        <v>0</v>
      </c>
      <c r="F140" s="95">
        <f>VLOOKUP($A140,工作表3!$A:L,12,FALSE)</f>
        <v>0</v>
      </c>
      <c r="G140" s="95">
        <f>VLOOKUP($A140,工作表3!$A:M,13,FALSE)</f>
        <v>0</v>
      </c>
      <c r="H140" s="95">
        <f>VLOOKUP($A140,工作表3!$A:N,14,FALSE)</f>
        <v>0</v>
      </c>
      <c r="I140" s="95">
        <f>VLOOKUP($A140,工作表3!$A:O,15,FALSE)</f>
        <v>0</v>
      </c>
      <c r="J140" s="169"/>
    </row>
    <row r="141" spans="1:10">
      <c r="A141" s="95" t="s">
        <v>45</v>
      </c>
      <c r="B141" s="95">
        <v>1</v>
      </c>
      <c r="C141" s="169">
        <f>VLOOKUP($A141,工作表3!$A:I,9,FALSE)</f>
        <v>18.181818181818183</v>
      </c>
      <c r="D141" s="95">
        <f>VLOOKUP($A141,工作表3!$A:J,10,FALSE)</f>
        <v>0</v>
      </c>
      <c r="E141" s="95">
        <f>VLOOKUP($A141,工作表3!$A:K,11,FALSE)</f>
        <v>0</v>
      </c>
      <c r="F141" s="95">
        <f>VLOOKUP($A141,工作表3!$A:L,12,FALSE)</f>
        <v>0</v>
      </c>
      <c r="G141" s="95">
        <f>VLOOKUP($A141,工作表3!$A:M,13,FALSE)</f>
        <v>0</v>
      </c>
      <c r="H141" s="95">
        <f>VLOOKUP($A141,工作表3!$A:N,14,FALSE)</f>
        <v>0</v>
      </c>
      <c r="I141" s="95">
        <f>VLOOKUP($A141,工作表3!$A:O,15,FALSE)</f>
        <v>0</v>
      </c>
      <c r="J141" s="169"/>
    </row>
    <row r="142" spans="1:10">
      <c r="A142" s="95" t="s">
        <v>137</v>
      </c>
      <c r="B142" s="95">
        <v>1</v>
      </c>
      <c r="C142" s="169">
        <f>VLOOKUP($A142,工作表3!$A:I,9,FALSE)</f>
        <v>11.764705882352942</v>
      </c>
      <c r="D142" s="95">
        <f>VLOOKUP($A142,工作表3!$A:J,10,FALSE)</f>
        <v>0</v>
      </c>
      <c r="E142" s="95">
        <f>VLOOKUP($A142,工作表3!$A:K,11,FALSE)</f>
        <v>0</v>
      </c>
      <c r="F142" s="95">
        <f>VLOOKUP($A142,工作表3!$A:L,12,FALSE)</f>
        <v>0</v>
      </c>
      <c r="G142" s="95">
        <f>VLOOKUP($A142,工作表3!$A:M,13,FALSE)</f>
        <v>0</v>
      </c>
      <c r="H142" s="95">
        <f>VLOOKUP($A142,工作表3!$A:N,14,FALSE)</f>
        <v>0</v>
      </c>
      <c r="I142" s="95">
        <f>VLOOKUP($A142,工作表3!$A:O,15,FALSE)</f>
        <v>0</v>
      </c>
      <c r="J142" s="169"/>
    </row>
    <row r="143" spans="1:10">
      <c r="A143" s="95" t="s">
        <v>918</v>
      </c>
      <c r="B143" s="95">
        <v>1</v>
      </c>
      <c r="C143" s="169">
        <f>VLOOKUP($A143,工作表3!$A:I,9,FALSE)</f>
        <v>0</v>
      </c>
      <c r="D143" s="95">
        <f>VLOOKUP($A143,工作表3!$A:J,10,FALSE)</f>
        <v>14.285714285714286</v>
      </c>
      <c r="E143" s="95">
        <f>VLOOKUP($A143,工作表3!$A:K,11,FALSE)</f>
        <v>0</v>
      </c>
      <c r="F143" s="95">
        <f>VLOOKUP($A143,工作表3!$A:L,12,FALSE)</f>
        <v>0</v>
      </c>
      <c r="G143" s="95">
        <f>VLOOKUP($A143,工作表3!$A:M,13,FALSE)</f>
        <v>0</v>
      </c>
      <c r="H143" s="95">
        <f>VLOOKUP($A143,工作表3!$A:N,14,FALSE)</f>
        <v>0</v>
      </c>
      <c r="I143" s="95">
        <f>VLOOKUP($A143,工作表3!$A:O,15,FALSE)</f>
        <v>0</v>
      </c>
      <c r="J143" s="169"/>
    </row>
    <row r="144" spans="1:10">
      <c r="A144" s="95" t="s">
        <v>343</v>
      </c>
      <c r="B144" s="95">
        <v>1</v>
      </c>
      <c r="C144" s="169">
        <v>0</v>
      </c>
      <c r="D144" s="95">
        <v>14.285714285714286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169"/>
    </row>
    <row r="145" spans="1:10">
      <c r="A145" s="95" t="s">
        <v>217</v>
      </c>
      <c r="B145" s="95">
        <v>1</v>
      </c>
      <c r="C145" s="169">
        <f>VLOOKUP($A145,工作表3!$A:I,9,FALSE)</f>
        <v>28.571428571428573</v>
      </c>
      <c r="D145" s="95">
        <f>VLOOKUP($A145,工作表3!$A:J,10,FALSE)</f>
        <v>0</v>
      </c>
      <c r="E145" s="95">
        <f>VLOOKUP($A145,工作表3!$A:K,11,FALSE)</f>
        <v>0</v>
      </c>
      <c r="F145" s="95">
        <f>VLOOKUP($A145,工作表3!$A:L,12,FALSE)</f>
        <v>0</v>
      </c>
      <c r="G145" s="95">
        <f>VLOOKUP($A145,工作表3!$A:M,13,FALSE)</f>
        <v>0</v>
      </c>
      <c r="H145" s="95">
        <f>VLOOKUP($A145,工作表3!$A:N,14,FALSE)</f>
        <v>0</v>
      </c>
      <c r="I145" s="95">
        <f>VLOOKUP($A145,工作表3!$A:O,15,FALSE)</f>
        <v>0</v>
      </c>
      <c r="J145" s="169"/>
    </row>
    <row r="146" spans="1:10">
      <c r="A146" s="88" t="s">
        <v>250</v>
      </c>
      <c r="B146" s="95">
        <v>1</v>
      </c>
      <c r="C146" s="169">
        <f>VLOOKUP($A146,工作表3!$A:I,9,FALSE)</f>
        <v>0</v>
      </c>
      <c r="D146" s="95">
        <f>VLOOKUP($A146,工作表3!$A:J,10,FALSE)</f>
        <v>14.285714285714286</v>
      </c>
      <c r="E146" s="95">
        <f>VLOOKUP($A146,工作表3!$A:K,11,FALSE)</f>
        <v>0</v>
      </c>
      <c r="F146" s="95">
        <f>VLOOKUP($A146,工作表3!$A:L,12,FALSE)</f>
        <v>0</v>
      </c>
      <c r="G146" s="95">
        <f>VLOOKUP($A146,工作表3!$A:M,13,FALSE)</f>
        <v>0</v>
      </c>
      <c r="H146" s="95">
        <f>VLOOKUP($A146,工作表3!$A:N,14,FALSE)</f>
        <v>0</v>
      </c>
      <c r="I146" s="95">
        <f>VLOOKUP($A146,工作表3!$A:O,15,FALSE)</f>
        <v>0</v>
      </c>
      <c r="J146" s="169"/>
    </row>
    <row r="147" spans="1:10">
      <c r="A147" s="88" t="s">
        <v>369</v>
      </c>
      <c r="B147" s="95">
        <v>1</v>
      </c>
      <c r="C147" s="169">
        <f>VLOOKUP($A147,工作表3!$A:I,9,FALSE)</f>
        <v>0</v>
      </c>
      <c r="D147" s="95">
        <f>VLOOKUP($A147,工作表3!$A:J,10,FALSE)</f>
        <v>14.285714285714286</v>
      </c>
      <c r="E147" s="95">
        <f>VLOOKUP($A147,工作表3!$A:K,11,FALSE)</f>
        <v>0</v>
      </c>
      <c r="F147" s="95">
        <f>VLOOKUP($A147,工作表3!$A:L,12,FALSE)</f>
        <v>0</v>
      </c>
      <c r="G147" s="95">
        <f>VLOOKUP($A147,工作表3!$A:M,13,FALSE)</f>
        <v>0</v>
      </c>
      <c r="H147" s="95">
        <f>VLOOKUP($A147,工作表3!$A:N,14,FALSE)</f>
        <v>0</v>
      </c>
      <c r="I147" s="95">
        <f>VLOOKUP($A147,工作表3!$A:O,15,FALSE)</f>
        <v>0</v>
      </c>
      <c r="J147" s="169"/>
    </row>
    <row r="148" spans="1:10">
      <c r="A148" s="88" t="s">
        <v>171</v>
      </c>
      <c r="B148" s="95">
        <v>1</v>
      </c>
      <c r="C148" s="169">
        <f>VLOOKUP($A148,工作表3!$A:I,9,FALSE)</f>
        <v>0</v>
      </c>
      <c r="D148" s="95">
        <f>VLOOKUP($A148,工作表3!$A:J,10,FALSE)</f>
        <v>20</v>
      </c>
      <c r="E148" s="95">
        <f>VLOOKUP($A148,工作表3!$A:K,11,FALSE)</f>
        <v>0</v>
      </c>
      <c r="F148" s="95">
        <f>VLOOKUP($A148,工作表3!$A:L,12,FALSE)</f>
        <v>0</v>
      </c>
      <c r="G148" s="95">
        <f>VLOOKUP($A148,工作表3!$A:M,13,FALSE)</f>
        <v>0</v>
      </c>
      <c r="H148" s="95">
        <f>VLOOKUP($A148,工作表3!$A:N,14,FALSE)</f>
        <v>0</v>
      </c>
      <c r="I148" s="95">
        <f>VLOOKUP($A148,工作表3!$A:O,15,FALSE)</f>
        <v>0</v>
      </c>
      <c r="J148" s="169"/>
    </row>
    <row r="149" spans="1:10">
      <c r="A149" s="88" t="s">
        <v>323</v>
      </c>
      <c r="B149" s="95">
        <v>1</v>
      </c>
      <c r="C149" s="169">
        <v>0</v>
      </c>
      <c r="D149" s="95">
        <v>20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169"/>
    </row>
    <row r="150" spans="1:10">
      <c r="A150" s="88" t="s">
        <v>357</v>
      </c>
      <c r="B150" s="95">
        <v>1</v>
      </c>
      <c r="C150" s="169">
        <f>VLOOKUP($A150,工作表3!$A:I,9,FALSE)</f>
        <v>0</v>
      </c>
      <c r="D150" s="95">
        <f>VLOOKUP($A150,工作表3!$A:J,10,FALSE)</f>
        <v>20</v>
      </c>
      <c r="E150" s="95">
        <f>VLOOKUP($A150,工作表3!$A:K,11,FALSE)</f>
        <v>0</v>
      </c>
      <c r="F150" s="95">
        <f>VLOOKUP($A150,工作表3!$A:L,12,FALSE)</f>
        <v>0</v>
      </c>
      <c r="G150" s="95">
        <f>VLOOKUP($A150,工作表3!$A:M,13,FALSE)</f>
        <v>0</v>
      </c>
      <c r="H150" s="95">
        <f>VLOOKUP($A150,工作表3!$A:N,14,FALSE)</f>
        <v>0</v>
      </c>
      <c r="I150" s="95">
        <f>VLOOKUP($A150,工作表3!$A:O,15,FALSE)</f>
        <v>0</v>
      </c>
      <c r="J150" s="169"/>
    </row>
    <row r="151" spans="1:10">
      <c r="A151" s="88" t="s">
        <v>434</v>
      </c>
      <c r="B151" s="95">
        <v>1</v>
      </c>
      <c r="C151" s="169">
        <v>0</v>
      </c>
      <c r="D151" s="95">
        <v>20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169"/>
    </row>
    <row r="152" spans="1:10">
      <c r="A152" s="88" t="s">
        <v>919</v>
      </c>
      <c r="B152" s="95">
        <v>1</v>
      </c>
      <c r="C152" s="169">
        <f>VLOOKUP($A152,工作表3!$A:I,9,FALSE)</f>
        <v>0</v>
      </c>
      <c r="D152" s="95">
        <f>VLOOKUP($A152,工作表3!$A:J,10,FALSE)</f>
        <v>20</v>
      </c>
      <c r="E152" s="95">
        <f>VLOOKUP($A152,工作表3!$A:K,11,FALSE)</f>
        <v>0</v>
      </c>
      <c r="F152" s="95">
        <f>VLOOKUP($A152,工作表3!$A:L,12,FALSE)</f>
        <v>0</v>
      </c>
      <c r="G152" s="95">
        <f>VLOOKUP($A152,工作表3!$A:M,13,FALSE)</f>
        <v>0</v>
      </c>
      <c r="H152" s="95">
        <f>VLOOKUP($A152,工作表3!$A:N,14,FALSE)</f>
        <v>0</v>
      </c>
      <c r="I152" s="95">
        <f>VLOOKUP($A152,工作表3!$A:O,15,FALSE)</f>
        <v>0</v>
      </c>
      <c r="J152" s="169"/>
    </row>
    <row r="153" spans="1:10">
      <c r="A153" s="88" t="s">
        <v>89</v>
      </c>
      <c r="B153" s="95">
        <v>1</v>
      </c>
      <c r="C153" s="169">
        <f>VLOOKUP($A153,工作表3!$A:I,9,FALSE)</f>
        <v>0</v>
      </c>
      <c r="D153" s="95">
        <f>VLOOKUP($A153,工作表3!$A:J,10,FALSE)</f>
        <v>20</v>
      </c>
      <c r="E153" s="95">
        <f>VLOOKUP($A153,工作表3!$A:K,11,FALSE)</f>
        <v>0</v>
      </c>
      <c r="F153" s="95">
        <f>VLOOKUP($A153,工作表3!$A:L,12,FALSE)</f>
        <v>0</v>
      </c>
      <c r="G153" s="95">
        <f>VLOOKUP($A153,工作表3!$A:M,13,FALSE)</f>
        <v>0</v>
      </c>
      <c r="H153" s="95">
        <f>VLOOKUP($A153,工作表3!$A:N,14,FALSE)</f>
        <v>0</v>
      </c>
      <c r="I153" s="95">
        <f>VLOOKUP($A153,工作表3!$A:O,15,FALSE)</f>
        <v>0</v>
      </c>
      <c r="J153" s="169"/>
    </row>
    <row r="154" spans="1:10">
      <c r="A154" s="95" t="s">
        <v>460</v>
      </c>
      <c r="B154" s="95">
        <v>6.5000000000000002E-2</v>
      </c>
      <c r="C154" s="169">
        <f>VLOOKUP($A154,工作表3!$A:I,9,FALSE)</f>
        <v>0</v>
      </c>
      <c r="D154" s="95">
        <f>VLOOKUP($A154,工作表3!$A:J,10,FALSE)/B154</f>
        <v>18.46153846153846</v>
      </c>
      <c r="E154" s="95">
        <f>VLOOKUP($A154,工作表3!$A:K,11,FALSE)</f>
        <v>0</v>
      </c>
      <c r="F154" s="95">
        <f>VLOOKUP($A154,工作表3!$A:L,12,FALSE)</f>
        <v>0</v>
      </c>
      <c r="G154" s="95">
        <f>VLOOKUP($A154,工作表3!$A:M,13,FALSE)</f>
        <v>0</v>
      </c>
      <c r="H154" s="95">
        <f>VLOOKUP($A154,工作表3!$A:N,14,FALSE)</f>
        <v>0</v>
      </c>
      <c r="I154" s="95">
        <f>VLOOKUP($A154,工作表3!$A:O,15,FALSE)</f>
        <v>0</v>
      </c>
      <c r="J154" s="169"/>
    </row>
    <row r="155" spans="1:10">
      <c r="A155" s="95" t="s">
        <v>179</v>
      </c>
      <c r="B155" s="95">
        <v>6.5000000000000002E-2</v>
      </c>
      <c r="C155" s="169">
        <f>VLOOKUP($A155,工作表3!$A:I,9,FALSE)</f>
        <v>0</v>
      </c>
      <c r="D155" s="95">
        <f>VLOOKUP($A155,工作表3!$A:J,10,FALSE)/B155</f>
        <v>18.46153846153846</v>
      </c>
      <c r="E155" s="95">
        <f>VLOOKUP($A155,工作表3!$A:K,11,FALSE)</f>
        <v>0</v>
      </c>
      <c r="F155" s="95">
        <f>VLOOKUP($A155,工作表3!$A:L,12,FALSE)</f>
        <v>0</v>
      </c>
      <c r="G155" s="95">
        <f>VLOOKUP($A155,工作表3!$A:M,13,FALSE)</f>
        <v>0</v>
      </c>
      <c r="H155" s="95">
        <f>VLOOKUP($A155,工作表3!$A:N,14,FALSE)</f>
        <v>0</v>
      </c>
      <c r="I155" s="95">
        <f>VLOOKUP($A155,工作表3!$A:O,15,FALSE)</f>
        <v>0</v>
      </c>
      <c r="J155" s="169"/>
    </row>
    <row r="156" spans="1:10">
      <c r="A156" s="95" t="s">
        <v>48</v>
      </c>
      <c r="B156" s="95">
        <v>0.06</v>
      </c>
      <c r="C156" s="169">
        <f>VLOOKUP($A156,工作表3!$A:I,9,FALSE)</f>
        <v>0</v>
      </c>
      <c r="D156" s="95">
        <f>VLOOKUP($A156,工作表3!$A:J,10,FALSE)</f>
        <v>15.384615384615385</v>
      </c>
      <c r="E156" s="95">
        <f>VLOOKUP($A156,工作表3!$A:K,11,FALSE)</f>
        <v>0</v>
      </c>
      <c r="F156" s="95">
        <f>VLOOKUP($A156,工作表3!$A:L,12,FALSE)</f>
        <v>0</v>
      </c>
      <c r="G156" s="95">
        <f>VLOOKUP($A156,工作表3!$A:M,13,FALSE)</f>
        <v>0</v>
      </c>
      <c r="H156" s="95">
        <f>VLOOKUP($A156,工作表3!$A:N,14,FALSE)</f>
        <v>0</v>
      </c>
      <c r="I156" s="95">
        <f>VLOOKUP($A156,工作表3!$A:O,15,FALSE)</f>
        <v>0</v>
      </c>
      <c r="J156" s="169"/>
    </row>
    <row r="157" spans="1:10">
      <c r="A157" s="95" t="s">
        <v>342</v>
      </c>
      <c r="B157" s="95">
        <v>1</v>
      </c>
      <c r="C157" s="169">
        <v>0</v>
      </c>
      <c r="D157" s="95">
        <v>12.5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69"/>
    </row>
    <row r="158" spans="1:10">
      <c r="A158" s="95" t="s">
        <v>79</v>
      </c>
      <c r="B158" s="95">
        <v>1</v>
      </c>
      <c r="C158" s="169">
        <v>0</v>
      </c>
      <c r="D158" s="95">
        <v>12.5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169"/>
    </row>
    <row r="159" spans="1:10">
      <c r="A159" s="95" t="s">
        <v>100</v>
      </c>
      <c r="B159" s="95">
        <v>1</v>
      </c>
      <c r="C159" s="169">
        <f>VLOOKUP($A159,工作表3!$A:I,9,FALSE)</f>
        <v>0</v>
      </c>
      <c r="D159" s="95">
        <f>VLOOKUP($A159,工作表3!$A:J,10,FALSE)</f>
        <v>12.5</v>
      </c>
      <c r="E159" s="95">
        <f>VLOOKUP($A159,工作表3!$A:K,11,FALSE)</f>
        <v>0</v>
      </c>
      <c r="F159" s="95">
        <f>VLOOKUP($A159,工作表3!$A:L,12,FALSE)</f>
        <v>0</v>
      </c>
      <c r="G159" s="95">
        <f>VLOOKUP($A159,工作表3!$A:M,13,FALSE)</f>
        <v>0</v>
      </c>
      <c r="H159" s="95">
        <f>VLOOKUP($A159,工作表3!$A:N,14,FALSE)</f>
        <v>0</v>
      </c>
      <c r="I159" s="95">
        <f>VLOOKUP($A159,工作表3!$A:O,15,FALSE)</f>
        <v>0</v>
      </c>
      <c r="J159" s="169"/>
    </row>
    <row r="160" spans="1:10">
      <c r="A160" s="95" t="s">
        <v>391</v>
      </c>
      <c r="B160" s="95">
        <v>1</v>
      </c>
      <c r="C160" s="169">
        <f>VLOOKUP($A160,工作表3!$A:I,9,FALSE)</f>
        <v>0</v>
      </c>
      <c r="D160" s="95">
        <f>VLOOKUP($A160,工作表3!$A:J,10,FALSE)</f>
        <v>28.571428571428573</v>
      </c>
      <c r="E160" s="95">
        <f>VLOOKUP($A160,工作表3!$A:K,11,FALSE)</f>
        <v>0</v>
      </c>
      <c r="F160" s="95">
        <f>VLOOKUP($A160,工作表3!$A:L,12,FALSE)</f>
        <v>0</v>
      </c>
      <c r="G160" s="95">
        <f>VLOOKUP($A160,工作表3!$A:M,13,FALSE)</f>
        <v>0</v>
      </c>
      <c r="H160" s="95">
        <f>VLOOKUP($A160,工作表3!$A:N,14,FALSE)</f>
        <v>0</v>
      </c>
      <c r="I160" s="95">
        <f>VLOOKUP($A160,工作表3!$A:O,15,FALSE)</f>
        <v>0</v>
      </c>
      <c r="J160" s="169"/>
    </row>
    <row r="161" spans="1:10">
      <c r="A161" s="95" t="s">
        <v>218</v>
      </c>
      <c r="B161" s="95">
        <v>1</v>
      </c>
      <c r="C161" s="169">
        <f>VLOOKUP($A161,工作表3!$A:I,9,FALSE)</f>
        <v>0</v>
      </c>
      <c r="D161" s="95">
        <f>VLOOKUP($A161,工作表3!$A:J,10,FALSE)</f>
        <v>28.571428571428573</v>
      </c>
      <c r="E161" s="95">
        <f>VLOOKUP($A161,工作表3!$A:K,11,FALSE)</f>
        <v>0</v>
      </c>
      <c r="F161" s="95">
        <f>VLOOKUP($A161,工作表3!$A:L,12,FALSE)</f>
        <v>0</v>
      </c>
      <c r="G161" s="95">
        <f>VLOOKUP($A161,工作表3!$A:M,13,FALSE)</f>
        <v>0</v>
      </c>
      <c r="H161" s="95">
        <f>VLOOKUP($A161,工作表3!$A:N,14,FALSE)</f>
        <v>0</v>
      </c>
      <c r="I161" s="95">
        <f>VLOOKUP($A161,工作表3!$A:O,15,FALSE)</f>
        <v>0</v>
      </c>
      <c r="J161" s="169"/>
    </row>
    <row r="162" spans="1:10">
      <c r="A162" s="95" t="s">
        <v>77</v>
      </c>
      <c r="B162" s="95">
        <v>1</v>
      </c>
      <c r="C162" s="169">
        <f>VLOOKUP($A162,工作表3!$A:I,9,FALSE)</f>
        <v>0</v>
      </c>
      <c r="D162" s="95">
        <f>VLOOKUP($A162,工作表3!$A:J,10,FALSE)</f>
        <v>100</v>
      </c>
      <c r="E162" s="95">
        <f>VLOOKUP($A162,工作表3!$A:K,11,FALSE)</f>
        <v>0</v>
      </c>
      <c r="F162" s="95">
        <f>VLOOKUP($A162,工作表3!$A:L,12,FALSE)</f>
        <v>0</v>
      </c>
      <c r="G162" s="95">
        <f>VLOOKUP($A162,工作表3!$A:M,13,FALSE)</f>
        <v>0</v>
      </c>
      <c r="H162" s="95">
        <f>VLOOKUP($A162,工作表3!$A:N,14,FALSE)</f>
        <v>0</v>
      </c>
      <c r="I162" s="95">
        <f>VLOOKUP($A162,工作表3!$A:O,15,FALSE)</f>
        <v>0</v>
      </c>
      <c r="J162" s="169"/>
    </row>
    <row r="163" spans="1:10">
      <c r="A163" s="95" t="s">
        <v>338</v>
      </c>
      <c r="B163" s="95">
        <v>1</v>
      </c>
      <c r="C163" s="169">
        <v>0</v>
      </c>
      <c r="D163" s="95">
        <v>28.571428571428573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169"/>
    </row>
    <row r="164" spans="1:10">
      <c r="A164" s="95" t="s">
        <v>394</v>
      </c>
      <c r="B164" s="95">
        <v>1</v>
      </c>
      <c r="C164" s="169">
        <f>VLOOKUP($A164,工作表3!$A:I,9,FALSE)</f>
        <v>0</v>
      </c>
      <c r="D164" s="95">
        <f>VLOOKUP($A164,工作表3!$A:J,10,FALSE)</f>
        <v>28.571428571428573</v>
      </c>
      <c r="E164" s="95">
        <f>VLOOKUP($A164,工作表3!$A:K,11,FALSE)</f>
        <v>0</v>
      </c>
      <c r="F164" s="95">
        <f>VLOOKUP($A164,工作表3!$A:L,12,FALSE)</f>
        <v>0</v>
      </c>
      <c r="G164" s="95">
        <f>VLOOKUP($A164,工作表3!$A:M,13,FALSE)</f>
        <v>0</v>
      </c>
      <c r="H164" s="95">
        <f>VLOOKUP($A164,工作表3!$A:N,14,FALSE)</f>
        <v>0</v>
      </c>
      <c r="I164" s="95">
        <f>VLOOKUP($A164,工作表3!$A:O,15,FALSE)</f>
        <v>0</v>
      </c>
      <c r="J164" s="169"/>
    </row>
    <row r="165" spans="1:10">
      <c r="A165" s="95" t="s">
        <v>407</v>
      </c>
      <c r="B165" s="95">
        <v>0.22</v>
      </c>
      <c r="C165" s="169">
        <f>VLOOKUP($A165,工作表3!$A:I,9,FALSE)</f>
        <v>0</v>
      </c>
      <c r="D165" s="95">
        <f>VLOOKUP($A165,工作表3!$A:J,10,FALSE)</f>
        <v>28.571428571428573</v>
      </c>
      <c r="E165" s="95">
        <f>VLOOKUP($A165,工作表3!$A:K,11,FALSE)</f>
        <v>0</v>
      </c>
      <c r="F165" s="95">
        <f>VLOOKUP($A165,工作表3!$A:L,12,FALSE)</f>
        <v>0</v>
      </c>
      <c r="G165" s="95">
        <f>VLOOKUP($A165,工作表3!$A:M,13,FALSE)</f>
        <v>0</v>
      </c>
      <c r="H165" s="95">
        <f>VLOOKUP($A165,工作表3!$A:N,14,FALSE)</f>
        <v>0</v>
      </c>
      <c r="I165" s="95">
        <f>VLOOKUP($A165,工作表3!$A:O,15,FALSE)</f>
        <v>0</v>
      </c>
      <c r="J165" s="169"/>
    </row>
    <row r="166" spans="1:10">
      <c r="A166" s="95" t="s">
        <v>429</v>
      </c>
      <c r="B166" s="95">
        <v>1</v>
      </c>
      <c r="C166" s="169">
        <v>0</v>
      </c>
      <c r="D166" s="95">
        <v>33.333333333333336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169"/>
    </row>
    <row r="167" spans="1:10">
      <c r="A167" s="95" t="s">
        <v>920</v>
      </c>
      <c r="B167" s="95">
        <v>1</v>
      </c>
      <c r="C167" s="169">
        <f>VLOOKUP($A167,工作表3!$A:I,9,FALSE)</f>
        <v>0</v>
      </c>
      <c r="D167" s="95">
        <f>VLOOKUP($A167,工作表3!$A:J,10,FALSE)</f>
        <v>33.333333333333336</v>
      </c>
      <c r="E167" s="95">
        <f>VLOOKUP($A167,工作表3!$A:K,11,FALSE)</f>
        <v>0</v>
      </c>
      <c r="F167" s="95">
        <f>VLOOKUP($A167,工作表3!$A:L,12,FALSE)</f>
        <v>0</v>
      </c>
      <c r="G167" s="95">
        <f>VLOOKUP($A167,工作表3!$A:M,13,FALSE)</f>
        <v>0</v>
      </c>
      <c r="H167" s="95">
        <f>VLOOKUP($A167,工作表3!$A:N,14,FALSE)</f>
        <v>0</v>
      </c>
      <c r="I167" s="95">
        <f>VLOOKUP($A167,工作表3!$A:O,15,FALSE)</f>
        <v>0</v>
      </c>
      <c r="J167" s="169"/>
    </row>
    <row r="168" spans="1:10">
      <c r="A168" s="95" t="s">
        <v>921</v>
      </c>
      <c r="B168" s="95">
        <v>1</v>
      </c>
      <c r="C168" s="95">
        <f>VLOOKUP($A168,工作表3!$A:I,9,FALSE)</f>
        <v>0</v>
      </c>
      <c r="D168" s="95">
        <f>VLOOKUP($A168,工作表3!$A:J,10,FALSE)</f>
        <v>25</v>
      </c>
      <c r="E168" s="95">
        <f>VLOOKUP($A168,工作表3!$A:K,11,FALSE)</f>
        <v>0</v>
      </c>
      <c r="F168" s="95">
        <f>VLOOKUP($A168,工作表3!$A:L,12,FALSE)</f>
        <v>0</v>
      </c>
      <c r="G168" s="95">
        <f>VLOOKUP($A168,工作表3!$A:M,13,FALSE)</f>
        <v>0</v>
      </c>
      <c r="H168" s="95">
        <f>VLOOKUP($A168,工作表3!$A:N,14,FALSE)</f>
        <v>0</v>
      </c>
      <c r="I168" s="95">
        <f>VLOOKUP($A168,工作表3!$A:O,15,FALSE)</f>
        <v>0</v>
      </c>
      <c r="J168" s="169"/>
    </row>
    <row r="169" spans="1:10">
      <c r="A169" s="95" t="s">
        <v>204</v>
      </c>
      <c r="B169" s="95">
        <v>1</v>
      </c>
      <c r="C169" s="95">
        <v>0</v>
      </c>
      <c r="D169" s="95">
        <v>25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169"/>
    </row>
    <row r="170" spans="1:10">
      <c r="A170" s="95" t="s">
        <v>104</v>
      </c>
      <c r="B170" s="95">
        <v>1</v>
      </c>
      <c r="C170" s="95">
        <f>VLOOKUP($A170,工作表3!$A:I,9,FALSE)</f>
        <v>0</v>
      </c>
      <c r="D170" s="95">
        <f>VLOOKUP($A170,工作表3!$A:J,10,FALSE)</f>
        <v>15.151515151515152</v>
      </c>
      <c r="E170" s="95">
        <f>VLOOKUP($A170,工作表3!$A:K,11,FALSE)</f>
        <v>0</v>
      </c>
      <c r="F170" s="95">
        <f>VLOOKUP($A170,工作表3!$A:L,12,FALSE)</f>
        <v>0</v>
      </c>
      <c r="G170" s="95">
        <f>VLOOKUP($A170,工作表3!$A:M,13,FALSE)</f>
        <v>0</v>
      </c>
      <c r="H170" s="95">
        <f>VLOOKUP($A170,工作表3!$A:N,14,FALSE)</f>
        <v>0</v>
      </c>
      <c r="I170" s="95">
        <f>VLOOKUP($A170,工作表3!$A:O,15,FALSE)</f>
        <v>0</v>
      </c>
      <c r="J170" s="169"/>
    </row>
    <row r="171" spans="1:10">
      <c r="A171" s="95" t="s">
        <v>327</v>
      </c>
      <c r="B171" s="95">
        <v>1</v>
      </c>
      <c r="C171" s="95">
        <v>0</v>
      </c>
      <c r="D171" s="95">
        <v>15.151515151515152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169"/>
    </row>
    <row r="172" spans="1:10">
      <c r="A172" s="88" t="s">
        <v>138</v>
      </c>
      <c r="B172" s="95">
        <v>1</v>
      </c>
      <c r="C172" s="95">
        <f>VLOOKUP($A172,工作表3!$A:I,9,FALSE)</f>
        <v>0</v>
      </c>
      <c r="D172" s="95">
        <f>VLOOKUP($A172,工作表3!$A:J,10,FALSE)</f>
        <v>28.571428571428573</v>
      </c>
      <c r="E172" s="95">
        <f>VLOOKUP($A172,工作表3!$A:K,11,FALSE)</f>
        <v>0</v>
      </c>
      <c r="F172" s="95">
        <f>VLOOKUP($A172,工作表3!$A:L,12,FALSE)</f>
        <v>0</v>
      </c>
      <c r="G172" s="95">
        <f>VLOOKUP($A172,工作表3!$A:M,13,FALSE)</f>
        <v>0</v>
      </c>
      <c r="H172" s="95">
        <f>VLOOKUP($A172,工作表3!$A:N,14,FALSE)</f>
        <v>0</v>
      </c>
      <c r="I172" s="95">
        <f>VLOOKUP($A172,工作表3!$A:O,15,FALSE)</f>
        <v>0</v>
      </c>
      <c r="J172" s="169"/>
    </row>
    <row r="173" spans="1:10">
      <c r="A173" s="88" t="s">
        <v>274</v>
      </c>
      <c r="B173" s="95">
        <v>1</v>
      </c>
      <c r="C173" s="95">
        <v>0</v>
      </c>
      <c r="D173" s="95">
        <v>28.571428571428573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169"/>
    </row>
    <row r="174" spans="1:10">
      <c r="A174" s="88" t="s">
        <v>922</v>
      </c>
      <c r="B174" s="95">
        <v>1</v>
      </c>
      <c r="C174" s="95">
        <f>VLOOKUP($A174,工作表3!$A:I,9,FALSE)</f>
        <v>0</v>
      </c>
      <c r="D174" s="95">
        <f>VLOOKUP($A174,工作表3!$A:J,10,FALSE)</f>
        <v>28.571428571428573</v>
      </c>
      <c r="E174" s="95">
        <f>VLOOKUP($A174,工作表3!$A:K,11,FALSE)</f>
        <v>0</v>
      </c>
      <c r="F174" s="95">
        <f>VLOOKUP($A174,工作表3!$A:L,12,FALSE)</f>
        <v>0</v>
      </c>
      <c r="G174" s="95">
        <f>VLOOKUP($A174,工作表3!$A:M,13,FALSE)</f>
        <v>0</v>
      </c>
      <c r="H174" s="95">
        <f>VLOOKUP($A174,工作表3!$A:N,14,FALSE)</f>
        <v>0</v>
      </c>
      <c r="I174" s="95">
        <f>VLOOKUP($A174,工作表3!$A:O,15,FALSE)</f>
        <v>0</v>
      </c>
      <c r="J174" s="169"/>
    </row>
    <row r="175" spans="1:10">
      <c r="A175" s="88" t="s">
        <v>114</v>
      </c>
      <c r="B175" s="95">
        <v>1</v>
      </c>
      <c r="C175" s="95">
        <v>0</v>
      </c>
      <c r="D175" s="95">
        <v>28.571428571428573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169"/>
    </row>
    <row r="176" spans="1:10">
      <c r="A176" s="88" t="s">
        <v>105</v>
      </c>
      <c r="B176" s="95">
        <v>1</v>
      </c>
      <c r="C176" s="95">
        <f>VLOOKUP($A176,工作表3!$A:I,9,FALSE)</f>
        <v>0</v>
      </c>
      <c r="D176" s="95">
        <f>VLOOKUP($A176,工作表3!$A:J,10,FALSE)</f>
        <v>17.241379310344829</v>
      </c>
      <c r="E176" s="95">
        <f>VLOOKUP($A176,工作表3!$A:K,11,FALSE)</f>
        <v>0</v>
      </c>
      <c r="F176" s="95">
        <f>VLOOKUP($A176,工作表3!$A:L,12,FALSE)</f>
        <v>0</v>
      </c>
      <c r="G176" s="95">
        <f>VLOOKUP($A176,工作表3!$A:M,13,FALSE)</f>
        <v>0</v>
      </c>
      <c r="H176" s="95">
        <f>VLOOKUP($A176,工作表3!$A:N,14,FALSE)</f>
        <v>0</v>
      </c>
      <c r="I176" s="95">
        <f>VLOOKUP($A176,工作表3!$A:O,15,FALSE)</f>
        <v>0</v>
      </c>
      <c r="J176" s="169"/>
    </row>
    <row r="177" spans="1:10">
      <c r="A177" s="88" t="s">
        <v>332</v>
      </c>
      <c r="B177" s="95">
        <v>1</v>
      </c>
      <c r="C177" s="95">
        <v>0</v>
      </c>
      <c r="D177" s="95">
        <v>28.571428571428573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169"/>
    </row>
    <row r="178" spans="1:10">
      <c r="A178" s="88" t="s">
        <v>177</v>
      </c>
      <c r="B178" s="95">
        <v>1</v>
      </c>
      <c r="C178" s="95">
        <v>0</v>
      </c>
      <c r="D178" s="95">
        <v>28.571428571428573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169"/>
    </row>
    <row r="179" spans="1:10">
      <c r="A179" s="88" t="s">
        <v>162</v>
      </c>
      <c r="B179" s="95">
        <v>1</v>
      </c>
      <c r="C179" s="95">
        <v>0</v>
      </c>
      <c r="D179" s="95">
        <v>28.571428571428573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169"/>
    </row>
    <row r="180" spans="1:10">
      <c r="A180" s="88" t="s">
        <v>188</v>
      </c>
      <c r="B180" s="95">
        <v>1</v>
      </c>
      <c r="C180" s="95">
        <v>0</v>
      </c>
      <c r="D180" s="95">
        <v>28.571428571428573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169"/>
    </row>
    <row r="181" spans="1:10">
      <c r="A181" s="88" t="s">
        <v>175</v>
      </c>
      <c r="B181" s="95">
        <v>1</v>
      </c>
      <c r="C181" s="95">
        <f>VLOOKUP($A181,工作表3!$A:I,9,FALSE)</f>
        <v>0</v>
      </c>
      <c r="D181" s="95">
        <f>VLOOKUP($A181,工作表3!$A:J,10,FALSE)</f>
        <v>22.222222222222221</v>
      </c>
      <c r="E181" s="95">
        <f>VLOOKUP($A181,工作表3!$A:K,11,FALSE)</f>
        <v>0</v>
      </c>
      <c r="F181" s="95">
        <f>VLOOKUP($A181,工作表3!$A:L,12,FALSE)</f>
        <v>0</v>
      </c>
      <c r="G181" s="95">
        <f>VLOOKUP($A181,工作表3!$A:M,13,FALSE)</f>
        <v>0</v>
      </c>
      <c r="H181" s="95">
        <f>VLOOKUP($A181,工作表3!$A:N,14,FALSE)</f>
        <v>0</v>
      </c>
      <c r="I181" s="95">
        <f>VLOOKUP($A181,工作表3!$A:O,15,FALSE)</f>
        <v>0</v>
      </c>
      <c r="J181" s="169"/>
    </row>
    <row r="182" spans="1:10">
      <c r="A182" s="88" t="s">
        <v>428</v>
      </c>
      <c r="B182" s="95">
        <v>1</v>
      </c>
      <c r="C182" s="95">
        <f>VLOOKUP($A182,工作表3!$A:I,9,FALSE)</f>
        <v>0</v>
      </c>
      <c r="D182" s="95">
        <f>VLOOKUP($A182,工作表3!$A:J,10,FALSE)</f>
        <v>0</v>
      </c>
      <c r="E182" s="95">
        <f>VLOOKUP($A182,工作表3!$A:K,11,FALSE)</f>
        <v>0</v>
      </c>
      <c r="F182" s="95">
        <f>VLOOKUP($A182,工作表3!$A:L,12,FALSE)</f>
        <v>0</v>
      </c>
      <c r="G182" s="95">
        <f>VLOOKUP($A182,工作表3!$A:M,13,FALSE)</f>
        <v>0</v>
      </c>
      <c r="H182" s="95">
        <f>VLOOKUP($A182,工作表3!$A:N,14,FALSE)</f>
        <v>66.666666666666671</v>
      </c>
      <c r="I182" s="95">
        <f>VLOOKUP($A182,工作表3!$A:O,15,FALSE)</f>
        <v>0</v>
      </c>
      <c r="J182" s="169"/>
    </row>
    <row r="183" spans="1:10">
      <c r="A183" s="88" t="s">
        <v>182</v>
      </c>
      <c r="B183" s="95">
        <v>1</v>
      </c>
      <c r="C183" s="95">
        <f>VLOOKUP($A183,工作表3!$A:I,9,FALSE)</f>
        <v>0</v>
      </c>
      <c r="D183" s="95">
        <f>VLOOKUP($A183,工作表3!$A:J,10,FALSE)</f>
        <v>0</v>
      </c>
      <c r="E183" s="95">
        <f>VLOOKUP($A183,工作表3!$A:K,11,FALSE)</f>
        <v>0</v>
      </c>
      <c r="F183" s="95">
        <f>VLOOKUP($A183,工作表3!$A:L,12,FALSE)</f>
        <v>10</v>
      </c>
      <c r="G183" s="95">
        <f>VLOOKUP($A183,工作表3!$A:M,13,FALSE)</f>
        <v>0</v>
      </c>
      <c r="H183" s="95">
        <f>VLOOKUP($A183,工作表3!$A:N,14,FALSE)</f>
        <v>0</v>
      </c>
      <c r="I183" s="95">
        <f>VLOOKUP($A183,工作表3!$A:O,15,FALSE)</f>
        <v>0</v>
      </c>
      <c r="J183" s="169"/>
    </row>
    <row r="184" spans="1:10">
      <c r="A184" s="95" t="s">
        <v>464</v>
      </c>
      <c r="B184" s="95">
        <v>1</v>
      </c>
      <c r="C184" s="95">
        <v>0</v>
      </c>
      <c r="D184" s="95">
        <v>0</v>
      </c>
      <c r="E184" s="95">
        <v>0</v>
      </c>
      <c r="F184" s="95">
        <v>10</v>
      </c>
      <c r="G184" s="95">
        <v>0</v>
      </c>
      <c r="H184" s="95">
        <v>0</v>
      </c>
      <c r="I184" s="95">
        <v>0</v>
      </c>
      <c r="J184" s="169"/>
    </row>
    <row r="185" spans="1:10">
      <c r="A185" s="95" t="s">
        <v>184</v>
      </c>
      <c r="B185" s="95">
        <v>1</v>
      </c>
      <c r="C185" s="95">
        <f>VLOOKUP($A185,工作表3!$A:I,9,FALSE)</f>
        <v>0</v>
      </c>
      <c r="D185" s="95">
        <f>VLOOKUP($A185,工作表3!$A:J,10,FALSE)</f>
        <v>0</v>
      </c>
      <c r="E185" s="95">
        <f>VLOOKUP($A185,工作表3!$A:K,11,FALSE)</f>
        <v>0</v>
      </c>
      <c r="F185" s="95">
        <f>VLOOKUP($A185,工作表3!$A:L,12,FALSE)</f>
        <v>10</v>
      </c>
      <c r="G185" s="95">
        <f>VLOOKUP($A185,工作表3!$A:M,13,FALSE)</f>
        <v>0</v>
      </c>
      <c r="H185" s="95">
        <f>VLOOKUP($A185,工作表3!$A:N,14,FALSE)</f>
        <v>0</v>
      </c>
      <c r="I185" s="95">
        <f>VLOOKUP($A185,工作表3!$A:O,15,FALSE)</f>
        <v>0</v>
      </c>
      <c r="J185" s="169"/>
    </row>
    <row r="186" spans="1:10">
      <c r="A186" s="95" t="s">
        <v>316</v>
      </c>
      <c r="B186" s="95">
        <v>1</v>
      </c>
      <c r="C186" s="95">
        <v>0</v>
      </c>
      <c r="D186" s="95">
        <v>0</v>
      </c>
      <c r="E186" s="95">
        <v>0</v>
      </c>
      <c r="F186" s="95">
        <v>10</v>
      </c>
      <c r="G186" s="95">
        <v>0</v>
      </c>
      <c r="H186" s="95">
        <v>0</v>
      </c>
      <c r="I186" s="95">
        <v>0</v>
      </c>
      <c r="J186" s="169"/>
    </row>
    <row r="187" spans="1:10">
      <c r="A187" s="95" t="s">
        <v>46</v>
      </c>
      <c r="B187" s="95">
        <v>1</v>
      </c>
      <c r="C187" s="95">
        <f>VLOOKUP($A187,工作表3!$A:I,9,FALSE)</f>
        <v>0</v>
      </c>
      <c r="D187" s="95">
        <f>VLOOKUP($A187,工作表3!$A:J,10,FALSE)</f>
        <v>0</v>
      </c>
      <c r="E187" s="95">
        <f>VLOOKUP($A187,工作表3!$A:K,11,FALSE)</f>
        <v>0</v>
      </c>
      <c r="F187" s="95">
        <f>VLOOKUP($A187,工作表3!$A:L,12,FALSE)</f>
        <v>10</v>
      </c>
      <c r="G187" s="95">
        <f>VLOOKUP($A187,工作表3!$A:M,13,FALSE)</f>
        <v>0</v>
      </c>
      <c r="H187" s="95">
        <f>VLOOKUP($A187,工作表3!$A:N,14,FALSE)</f>
        <v>0</v>
      </c>
      <c r="I187" s="95">
        <f>VLOOKUP($A187,工作表3!$A:O,15,FALSE)</f>
        <v>0</v>
      </c>
      <c r="J187" s="169"/>
    </row>
    <row r="188" spans="1:10">
      <c r="A188" s="88" t="s">
        <v>189</v>
      </c>
      <c r="B188" s="95">
        <v>1</v>
      </c>
      <c r="C188" s="95">
        <v>0</v>
      </c>
      <c r="D188" s="95">
        <v>0</v>
      </c>
      <c r="E188" s="95">
        <v>0</v>
      </c>
      <c r="F188" s="95">
        <v>10</v>
      </c>
      <c r="G188" s="95">
        <v>0</v>
      </c>
      <c r="H188" s="95">
        <v>0</v>
      </c>
      <c r="I188" s="95">
        <v>0</v>
      </c>
    </row>
    <row r="189" spans="1:10">
      <c r="A189" s="88" t="s">
        <v>452</v>
      </c>
      <c r="B189" s="95">
        <v>1</v>
      </c>
      <c r="C189" s="95">
        <v>0</v>
      </c>
      <c r="D189" s="95">
        <v>0</v>
      </c>
      <c r="E189" s="95">
        <v>0</v>
      </c>
      <c r="F189" s="95">
        <v>10</v>
      </c>
      <c r="G189" s="95">
        <v>0</v>
      </c>
      <c r="H189" s="95">
        <v>0</v>
      </c>
      <c r="I189" s="95">
        <v>0</v>
      </c>
    </row>
    <row r="190" spans="1:10">
      <c r="A190" s="88" t="s">
        <v>113</v>
      </c>
      <c r="B190" s="95">
        <v>1</v>
      </c>
      <c r="C190" s="95">
        <f>VLOOKUP($A190,工作表3!$A:I,9,FALSE)</f>
        <v>0</v>
      </c>
      <c r="D190" s="95">
        <f>VLOOKUP($A190,工作表3!$A:J,10,FALSE)</f>
        <v>0</v>
      </c>
      <c r="E190" s="95">
        <f>VLOOKUP($A190,工作表3!$A:K,11,FALSE)</f>
        <v>0</v>
      </c>
      <c r="F190" s="95">
        <f>VLOOKUP($A190,工作表3!$A:L,12,FALSE)</f>
        <v>10</v>
      </c>
      <c r="G190" s="95">
        <f>VLOOKUP($A190,工作表3!$A:M,13,FALSE)</f>
        <v>0</v>
      </c>
      <c r="H190" s="95">
        <f>VLOOKUP($A190,工作表3!$A:N,14,FALSE)</f>
        <v>0</v>
      </c>
      <c r="I190" s="95">
        <f>VLOOKUP($A190,工作表3!$A:O,15,FALSE)</f>
        <v>0</v>
      </c>
    </row>
    <row r="191" spans="1:10">
      <c r="A191" s="88" t="s">
        <v>74</v>
      </c>
      <c r="B191" s="95">
        <v>1</v>
      </c>
      <c r="C191" s="95">
        <f>VLOOKUP($A191,工作表3!$A:I,9,FALSE)</f>
        <v>0</v>
      </c>
      <c r="D191" s="95">
        <f>VLOOKUP($A191,工作表3!$A:J,10,FALSE)</f>
        <v>0</v>
      </c>
      <c r="E191" s="95">
        <f>VLOOKUP($A191,工作表3!$A:K,11,FALSE)</f>
        <v>0</v>
      </c>
      <c r="F191" s="95">
        <f>VLOOKUP($A191,工作表3!$A:L,12,FALSE)</f>
        <v>10</v>
      </c>
      <c r="G191" s="95">
        <f>VLOOKUP($A191,工作表3!$A:M,13,FALSE)</f>
        <v>0</v>
      </c>
      <c r="H191" s="95">
        <f>VLOOKUP($A191,工作表3!$A:N,14,FALSE)</f>
        <v>0</v>
      </c>
      <c r="I191" s="95">
        <f>VLOOKUP($A191,工作表3!$A:O,15,FALSE)</f>
        <v>0</v>
      </c>
    </row>
    <row r="192" spans="1:10">
      <c r="A192" s="88" t="s">
        <v>168</v>
      </c>
      <c r="B192" s="95">
        <v>1</v>
      </c>
      <c r="C192" s="95">
        <f>VLOOKUP($A192,工作表3!$A:I,9,FALSE)</f>
        <v>0</v>
      </c>
      <c r="D192" s="95">
        <f>VLOOKUP($A192,工作表3!$A:J,10,FALSE)</f>
        <v>0</v>
      </c>
      <c r="E192" s="95">
        <f>VLOOKUP($A192,工作表3!$A:K,11,FALSE)</f>
        <v>0</v>
      </c>
      <c r="F192" s="95">
        <f>VLOOKUP($A192,工作表3!$A:L,12,FALSE)</f>
        <v>10</v>
      </c>
      <c r="G192" s="95">
        <f>VLOOKUP($A192,工作表3!$A:M,13,FALSE)</f>
        <v>0</v>
      </c>
      <c r="H192" s="95">
        <f>VLOOKUP($A192,工作表3!$A:N,14,FALSE)</f>
        <v>0</v>
      </c>
      <c r="I192" s="95">
        <f>VLOOKUP($A192,工作表3!$A:O,15,FALSE)</f>
        <v>0</v>
      </c>
    </row>
    <row r="193" spans="1:9">
      <c r="A193" s="88" t="s">
        <v>439</v>
      </c>
      <c r="B193" s="95">
        <v>1</v>
      </c>
      <c r="C193" s="95">
        <f>VLOOKUP($A193,工作表3!$A:I,9,FALSE)</f>
        <v>0</v>
      </c>
      <c r="D193" s="95">
        <f>VLOOKUP($A193,工作表3!$A:J,10,FALSE)</f>
        <v>0</v>
      </c>
      <c r="E193" s="95">
        <f>VLOOKUP($A193,工作表3!$A:K,11,FALSE)</f>
        <v>0</v>
      </c>
      <c r="F193" s="95">
        <f>VLOOKUP($A193,工作表3!$A:L,12,FALSE)</f>
        <v>10</v>
      </c>
      <c r="G193" s="95">
        <f>VLOOKUP($A193,工作表3!$A:M,13,FALSE)</f>
        <v>0</v>
      </c>
      <c r="H193" s="95">
        <f>VLOOKUP($A193,工作表3!$A:N,14,FALSE)</f>
        <v>0</v>
      </c>
      <c r="I193" s="95">
        <f>VLOOKUP($A193,工作表3!$A:O,15,FALSE)</f>
        <v>0</v>
      </c>
    </row>
    <row r="194" spans="1:9">
      <c r="A194" s="95" t="s">
        <v>392</v>
      </c>
      <c r="B194" s="95">
        <v>1</v>
      </c>
      <c r="C194" s="95">
        <f>VLOOKUP($A194,工作表3!$A:I,9,FALSE)</f>
        <v>0</v>
      </c>
      <c r="D194" s="95">
        <f>VLOOKUP($A194,工作表3!$A:J,10,FALSE)</f>
        <v>0</v>
      </c>
      <c r="E194" s="95">
        <f>VLOOKUP($A194,工作表3!$A:K,11,FALSE)</f>
        <v>0</v>
      </c>
      <c r="F194" s="95">
        <f>VLOOKUP($A194,工作表3!$A:L,12,FALSE)</f>
        <v>10</v>
      </c>
      <c r="G194" s="95">
        <f>VLOOKUP($A194,工作表3!$A:M,13,FALSE)</f>
        <v>0</v>
      </c>
      <c r="H194" s="95">
        <f>VLOOKUP($A194,工作表3!$A:N,14,FALSE)</f>
        <v>0</v>
      </c>
      <c r="I194" s="95">
        <f>VLOOKUP($A194,工作表3!$A:O,15,FALSE)</f>
        <v>0</v>
      </c>
    </row>
    <row r="195" spans="1:9">
      <c r="A195" s="95" t="s">
        <v>427</v>
      </c>
      <c r="B195" s="95">
        <v>1</v>
      </c>
      <c r="C195" s="95">
        <v>0</v>
      </c>
      <c r="D195" s="95">
        <v>0</v>
      </c>
      <c r="E195" s="95">
        <v>0</v>
      </c>
      <c r="F195" s="95">
        <v>10</v>
      </c>
      <c r="G195" s="95">
        <v>0</v>
      </c>
      <c r="H195" s="95">
        <v>0</v>
      </c>
      <c r="I195" s="95">
        <v>0</v>
      </c>
    </row>
    <row r="196" spans="1:9">
      <c r="A196" s="88" t="s">
        <v>75</v>
      </c>
      <c r="B196" s="95">
        <v>0.25</v>
      </c>
      <c r="C196" s="95">
        <f>VLOOKUP($A196,工作表3!$A:I,9,FALSE)</f>
        <v>0</v>
      </c>
      <c r="D196" s="95">
        <f>VLOOKUP($A196,工作表3!$A:J,10,FALSE)</f>
        <v>0</v>
      </c>
      <c r="E196" s="95">
        <f>VLOOKUP($A196,工作表3!$A:K,11,FALSE)</f>
        <v>0</v>
      </c>
      <c r="F196" s="95">
        <f>VLOOKUP($A196,工作表3!$A:L,12,FALSE)</f>
        <v>10</v>
      </c>
      <c r="G196" s="95">
        <f>VLOOKUP($A196,工作表3!$A:M,13,FALSE)</f>
        <v>0</v>
      </c>
      <c r="H196" s="95">
        <f>VLOOKUP($A196,工作表3!$A:N,14,FALSE)</f>
        <v>0</v>
      </c>
      <c r="I196" s="95">
        <f>VLOOKUP($A196,工作表3!$A:O,15,FALSE)</f>
        <v>0</v>
      </c>
    </row>
    <row r="197" spans="1:9">
      <c r="A197" s="88" t="s">
        <v>60</v>
      </c>
      <c r="B197" s="95">
        <v>0.25</v>
      </c>
      <c r="C197" s="95">
        <f>VLOOKUP($A197,工作表3!$A:I,9,FALSE)</f>
        <v>0</v>
      </c>
      <c r="D197" s="95">
        <f>VLOOKUP($A197,工作表3!$A:J,10,FALSE)</f>
        <v>0</v>
      </c>
      <c r="E197" s="95">
        <f>VLOOKUP($A197,工作表3!$A:K,11,FALSE)</f>
        <v>0</v>
      </c>
      <c r="F197" s="95">
        <f>VLOOKUP($A197,工作表3!$A:L,12,FALSE)</f>
        <v>10</v>
      </c>
      <c r="G197" s="95">
        <f>VLOOKUP($A197,工作表3!$A:M,13,FALSE)</f>
        <v>0</v>
      </c>
      <c r="H197" s="95">
        <f>VLOOKUP($A197,工作表3!$A:N,14,FALSE)</f>
        <v>0</v>
      </c>
      <c r="I197" s="95">
        <f>VLOOKUP($A197,工作表3!$A:O,15,FALSE)</f>
        <v>0</v>
      </c>
    </row>
    <row r="198" spans="1:9">
      <c r="A198" s="88" t="s">
        <v>90</v>
      </c>
      <c r="B198" s="95">
        <v>1</v>
      </c>
      <c r="C198" s="95">
        <f>VLOOKUP($A198,工作表3!$A:I,9,FALSE)</f>
        <v>0</v>
      </c>
      <c r="D198" s="95">
        <f>VLOOKUP($A198,工作表3!$A:J,10,FALSE)</f>
        <v>0</v>
      </c>
      <c r="E198" s="95">
        <f>VLOOKUP($A198,工作表3!$A:K,11,FALSE)</f>
        <v>0</v>
      </c>
      <c r="F198" s="95">
        <f>VLOOKUP($A198,工作表3!$A:L,12,FALSE)</f>
        <v>10</v>
      </c>
      <c r="G198" s="95">
        <f>VLOOKUP($A198,工作表3!$A:M,13,FALSE)</f>
        <v>0</v>
      </c>
      <c r="H198" s="95">
        <f>VLOOKUP($A198,工作表3!$A:N,14,FALSE)</f>
        <v>0</v>
      </c>
      <c r="I198" s="95">
        <f>VLOOKUP($A198,工作表3!$A:O,15,FALSE)</f>
        <v>0</v>
      </c>
    </row>
    <row r="199" spans="1:9">
      <c r="A199" s="88" t="s">
        <v>207</v>
      </c>
      <c r="B199" s="95">
        <v>1</v>
      </c>
      <c r="C199" s="95">
        <f>VLOOKUP($A199,工作表3!$A:I,9,FALSE)</f>
        <v>0</v>
      </c>
      <c r="D199" s="95">
        <f>VLOOKUP($A199,工作表3!$A:J,10,FALSE)</f>
        <v>0</v>
      </c>
      <c r="E199" s="95">
        <f>VLOOKUP($A199,工作表3!$A:K,11,FALSE)</f>
        <v>0</v>
      </c>
      <c r="F199" s="95">
        <f>VLOOKUP($A199,工作表3!$A:L,12,FALSE)</f>
        <v>10</v>
      </c>
      <c r="G199" s="95">
        <f>VLOOKUP($A199,工作表3!$A:M,13,FALSE)</f>
        <v>0</v>
      </c>
      <c r="H199" s="95">
        <f>VLOOKUP($A199,工作表3!$A:N,14,FALSE)</f>
        <v>0</v>
      </c>
      <c r="I199" s="95">
        <f>VLOOKUP($A199,工作表3!$A:O,15,FALSE)</f>
        <v>0</v>
      </c>
    </row>
    <row r="200" spans="1:9">
      <c r="A200" s="88" t="s">
        <v>408</v>
      </c>
      <c r="B200" s="95">
        <v>1</v>
      </c>
      <c r="C200" s="95">
        <v>0</v>
      </c>
      <c r="D200" s="95">
        <v>0</v>
      </c>
      <c r="E200" s="95">
        <v>0</v>
      </c>
      <c r="F200" s="95">
        <v>10</v>
      </c>
      <c r="G200" s="95">
        <v>0</v>
      </c>
      <c r="H200" s="95">
        <v>0</v>
      </c>
      <c r="I200" s="95">
        <v>0</v>
      </c>
    </row>
    <row r="201" spans="1:9">
      <c r="A201" s="88" t="s">
        <v>444</v>
      </c>
      <c r="B201" s="95">
        <v>1</v>
      </c>
      <c r="C201" s="95">
        <f>VLOOKUP($A201,工作表3!$A:I,9,FALSE)</f>
        <v>0</v>
      </c>
      <c r="D201" s="95">
        <f>VLOOKUP($A201,工作表3!$A:J,10,FALSE)</f>
        <v>0</v>
      </c>
      <c r="E201" s="95">
        <f>VLOOKUP($A201,工作表3!$A:K,11,FALSE)</f>
        <v>0</v>
      </c>
      <c r="F201" s="95">
        <f>VLOOKUP($A201,工作表3!$A:L,12,FALSE)</f>
        <v>10</v>
      </c>
      <c r="G201" s="95">
        <f>VLOOKUP($A201,工作表3!$A:M,13,FALSE)</f>
        <v>0</v>
      </c>
      <c r="H201" s="95">
        <f>VLOOKUP($A201,工作表3!$A:N,14,FALSE)</f>
        <v>0</v>
      </c>
      <c r="I201" s="95">
        <f>VLOOKUP($A201,工作表3!$A:O,15,FALSE)</f>
        <v>0</v>
      </c>
    </row>
    <row r="202" spans="1:9">
      <c r="A202" s="88" t="s">
        <v>59</v>
      </c>
      <c r="B202" s="95">
        <v>1</v>
      </c>
      <c r="C202" s="95">
        <f>VLOOKUP($A202,工作表3!$A:I,9,FALSE)</f>
        <v>0</v>
      </c>
      <c r="D202" s="95">
        <f>VLOOKUP($A202,工作表3!$A:J,10,FALSE)</f>
        <v>0</v>
      </c>
      <c r="E202" s="95">
        <f>VLOOKUP($A202,工作表3!$A:K,11,FALSE)</f>
        <v>0</v>
      </c>
      <c r="F202" s="95">
        <f>VLOOKUP($A202,工作表3!$A:L,12,FALSE)</f>
        <v>10</v>
      </c>
      <c r="G202" s="95">
        <f>VLOOKUP($A202,工作表3!$A:M,13,FALSE)</f>
        <v>0</v>
      </c>
      <c r="H202" s="95">
        <f>VLOOKUP($A202,工作表3!$A:N,14,FALSE)</f>
        <v>0</v>
      </c>
      <c r="I202" s="95">
        <f>VLOOKUP($A202,工作表3!$A:O,15,FALSE)</f>
        <v>0</v>
      </c>
    </row>
    <row r="203" spans="1:9">
      <c r="A203" s="88" t="s">
        <v>183</v>
      </c>
      <c r="B203" s="95">
        <v>1</v>
      </c>
      <c r="C203" s="95">
        <f>VLOOKUP($A203,工作表3!$A:I,9,FALSE)</f>
        <v>0</v>
      </c>
      <c r="D203" s="95">
        <f>VLOOKUP($A203,工作表3!$A:J,10,FALSE)</f>
        <v>0</v>
      </c>
      <c r="E203" s="95">
        <f>VLOOKUP($A203,工作表3!$A:K,11,FALSE)</f>
        <v>0</v>
      </c>
      <c r="F203" s="95">
        <f>VLOOKUP($A203,工作表3!$A:L,12,FALSE)</f>
        <v>10</v>
      </c>
      <c r="G203" s="95">
        <f>VLOOKUP($A203,工作表3!$A:M,13,FALSE)</f>
        <v>0</v>
      </c>
      <c r="H203" s="95">
        <f>VLOOKUP($A203,工作表3!$A:N,14,FALSE)</f>
        <v>0</v>
      </c>
      <c r="I203" s="95">
        <f>VLOOKUP($A203,工作表3!$A:O,15,FALSE)</f>
        <v>0</v>
      </c>
    </row>
    <row r="204" spans="1:9">
      <c r="A204" s="88" t="s">
        <v>276</v>
      </c>
      <c r="B204" s="95">
        <v>1</v>
      </c>
      <c r="C204" s="95">
        <f>VLOOKUP($A204,工作表3!$A:I,9,FALSE)</f>
        <v>0</v>
      </c>
      <c r="D204" s="95">
        <f>VLOOKUP($A204,工作表3!$A:J,10,FALSE)</f>
        <v>0</v>
      </c>
      <c r="E204" s="95">
        <f>VLOOKUP($A204,工作表3!$A:K,11,FALSE)</f>
        <v>0</v>
      </c>
      <c r="F204" s="95">
        <f>VLOOKUP($A204,工作表3!$A:L,12,FALSE)</f>
        <v>10</v>
      </c>
      <c r="G204" s="95">
        <f>VLOOKUP($A204,工作表3!$A:M,13,FALSE)</f>
        <v>0</v>
      </c>
      <c r="H204" s="95">
        <f>VLOOKUP($A204,工作表3!$A:N,14,FALSE)</f>
        <v>0</v>
      </c>
      <c r="I204" s="95">
        <f>VLOOKUP($A204,工作表3!$A:O,15,FALSE)</f>
        <v>0</v>
      </c>
    </row>
    <row r="205" spans="1:9">
      <c r="A205" s="88" t="s">
        <v>88</v>
      </c>
      <c r="B205" s="95">
        <v>1</v>
      </c>
      <c r="C205" s="95">
        <f>VLOOKUP($A205,工作表3!$A:I,9,FALSE)</f>
        <v>0</v>
      </c>
      <c r="D205" s="95">
        <f>VLOOKUP($A205,工作表3!$A:J,10,FALSE)</f>
        <v>0</v>
      </c>
      <c r="E205" s="95">
        <f>VLOOKUP($A205,工作表3!$A:K,11,FALSE)</f>
        <v>0</v>
      </c>
      <c r="F205" s="95">
        <f>VLOOKUP($A205,工作表3!$A:L,12,FALSE)</f>
        <v>10</v>
      </c>
      <c r="G205" s="95">
        <f>VLOOKUP($A205,工作表3!$A:M,13,FALSE)</f>
        <v>0</v>
      </c>
      <c r="H205" s="95">
        <f>VLOOKUP($A205,工作表3!$A:N,14,FALSE)</f>
        <v>0</v>
      </c>
      <c r="I205" s="95">
        <f>VLOOKUP($A205,工作表3!$A:O,15,FALSE)</f>
        <v>0</v>
      </c>
    </row>
    <row r="206" spans="1:9">
      <c r="A206" s="88" t="s">
        <v>169</v>
      </c>
      <c r="B206" s="95">
        <v>1</v>
      </c>
      <c r="C206" s="95">
        <f>VLOOKUP($A206,工作表3!$A:I,9,FALSE)</f>
        <v>0</v>
      </c>
      <c r="D206" s="95">
        <f>VLOOKUP($A206,工作表3!$A:J,10,FALSE)</f>
        <v>0</v>
      </c>
      <c r="E206" s="95">
        <f>VLOOKUP($A206,工作表3!$A:K,11,FALSE)</f>
        <v>0</v>
      </c>
      <c r="F206" s="95">
        <f>VLOOKUP($A206,工作表3!$A:L,12,FALSE)</f>
        <v>10</v>
      </c>
      <c r="G206" s="95">
        <f>VLOOKUP($A206,工作表3!$A:M,13,FALSE)</f>
        <v>0</v>
      </c>
      <c r="H206" s="95">
        <f>VLOOKUP($A206,工作表3!$A:N,14,FALSE)</f>
        <v>0</v>
      </c>
      <c r="I206" s="95">
        <f>VLOOKUP($A206,工作表3!$A:O,15,FALSE)</f>
        <v>0</v>
      </c>
    </row>
    <row r="207" spans="1:9">
      <c r="A207" s="88" t="s">
        <v>315</v>
      </c>
      <c r="B207" s="95">
        <v>1</v>
      </c>
      <c r="C207" s="95">
        <f>VLOOKUP($A207,工作表3!$A:I,9,FALSE)</f>
        <v>0</v>
      </c>
      <c r="D207" s="95">
        <f>VLOOKUP($A207,工作表3!$A:J,10,FALSE)</f>
        <v>0</v>
      </c>
      <c r="E207" s="95">
        <f>VLOOKUP($A207,工作表3!$A:K,11,FALSE)</f>
        <v>0</v>
      </c>
      <c r="F207" s="95">
        <f>VLOOKUP($A207,工作表3!$A:L,12,FALSE)</f>
        <v>10</v>
      </c>
      <c r="G207" s="95">
        <f>VLOOKUP($A207,工作表3!$A:M,13,FALSE)</f>
        <v>0</v>
      </c>
      <c r="H207" s="95">
        <f>VLOOKUP($A207,工作表3!$A:N,14,FALSE)</f>
        <v>0</v>
      </c>
      <c r="I207" s="95">
        <f>VLOOKUP($A207,工作表3!$A:O,15,FALSE)</f>
        <v>0</v>
      </c>
    </row>
    <row r="208" spans="1:9">
      <c r="A208" s="88" t="s">
        <v>161</v>
      </c>
      <c r="B208" s="95">
        <v>1</v>
      </c>
      <c r="C208" s="95">
        <f>VLOOKUP($A208,工作表3!$A:I,9,FALSE)</f>
        <v>0</v>
      </c>
      <c r="D208" s="95">
        <f>VLOOKUP($A208,工作表3!$A:J,10,FALSE)</f>
        <v>0</v>
      </c>
      <c r="E208" s="95">
        <f>VLOOKUP($A208,工作表3!$A:K,11,FALSE)</f>
        <v>0</v>
      </c>
      <c r="F208" s="95">
        <f>VLOOKUP($A208,工作表3!$A:L,12,FALSE)</f>
        <v>10</v>
      </c>
      <c r="G208" s="95">
        <f>VLOOKUP($A208,工作表3!$A:M,13,FALSE)</f>
        <v>0</v>
      </c>
      <c r="H208" s="95">
        <f>VLOOKUP($A208,工作表3!$A:N,14,FALSE)</f>
        <v>0</v>
      </c>
      <c r="I208" s="95">
        <f>VLOOKUP($A208,工作表3!$A:O,15,FALSE)</f>
        <v>0</v>
      </c>
    </row>
    <row r="209" spans="1:9">
      <c r="A209" s="88" t="s">
        <v>81</v>
      </c>
      <c r="B209" s="95">
        <v>1</v>
      </c>
      <c r="C209" s="95">
        <v>0</v>
      </c>
      <c r="D209" s="95">
        <v>0</v>
      </c>
      <c r="E209" s="95">
        <v>0</v>
      </c>
      <c r="F209" s="95">
        <v>10</v>
      </c>
      <c r="G209" s="95">
        <v>0</v>
      </c>
      <c r="H209" s="95">
        <v>0</v>
      </c>
      <c r="I209" s="95">
        <v>0</v>
      </c>
    </row>
    <row r="210" spans="1:9">
      <c r="A210" s="88" t="s">
        <v>108</v>
      </c>
      <c r="B210" s="95">
        <v>1</v>
      </c>
      <c r="C210" s="95">
        <f>VLOOKUP($A210,工作表3!$A:I,9,FALSE)</f>
        <v>0</v>
      </c>
      <c r="D210" s="95">
        <f>VLOOKUP($A210,工作表3!$A:J,10,FALSE)</f>
        <v>0</v>
      </c>
      <c r="E210" s="95">
        <f>VLOOKUP($A210,工作表3!$A:K,11,FALSE)</f>
        <v>0</v>
      </c>
      <c r="F210" s="95">
        <f>VLOOKUP($A210,工作表3!$A:L,12,FALSE)</f>
        <v>10</v>
      </c>
      <c r="G210" s="95">
        <f>VLOOKUP($A210,工作表3!$A:M,13,FALSE)</f>
        <v>0</v>
      </c>
      <c r="H210" s="95">
        <f>VLOOKUP($A210,工作表3!$A:N,14,FALSE)</f>
        <v>0</v>
      </c>
      <c r="I210" s="95">
        <f>VLOOKUP($A210,工作表3!$A:O,15,FALSE)</f>
        <v>0</v>
      </c>
    </row>
    <row r="211" spans="1:9">
      <c r="A211" s="95" t="s">
        <v>52</v>
      </c>
      <c r="B211" s="95">
        <v>1</v>
      </c>
      <c r="C211" s="95">
        <f>VLOOKUP($A211,工作表3!$A:I,9,FALSE)</f>
        <v>0</v>
      </c>
      <c r="D211" s="95">
        <f>VLOOKUP($A211,工作表3!$A:J,10,FALSE)</f>
        <v>0</v>
      </c>
      <c r="E211" s="95">
        <f>VLOOKUP($A211,工作表3!$A:K,11,FALSE)</f>
        <v>0</v>
      </c>
      <c r="F211" s="95">
        <f>VLOOKUP($A211,工作表3!$A:L,12,FALSE)</f>
        <v>10</v>
      </c>
      <c r="G211" s="95">
        <f>VLOOKUP($A211,工作表3!$A:M,13,FALSE)</f>
        <v>0</v>
      </c>
      <c r="H211" s="95">
        <f>VLOOKUP($A211,工作表3!$A:N,14,FALSE)</f>
        <v>0</v>
      </c>
      <c r="I211" s="95">
        <f>VLOOKUP($A211,工作表3!$A:O,15,FALSE)</f>
        <v>0</v>
      </c>
    </row>
    <row r="212" spans="1:9">
      <c r="A212" s="95" t="s">
        <v>462</v>
      </c>
      <c r="B212" s="95">
        <v>1</v>
      </c>
      <c r="C212" s="95">
        <f>VLOOKUP($A212,工作表3!$A:I,9,FALSE)</f>
        <v>0</v>
      </c>
      <c r="D212" s="95">
        <f>VLOOKUP($A212,工作表3!$A:J,10,FALSE)</f>
        <v>0</v>
      </c>
      <c r="E212" s="95">
        <f>VLOOKUP($A212,工作表3!$A:K,11,FALSE)</f>
        <v>0</v>
      </c>
      <c r="F212" s="95">
        <f>VLOOKUP($A212,工作表3!$A:L,12,FALSE)</f>
        <v>100</v>
      </c>
      <c r="G212" s="95">
        <f>VLOOKUP($A212,工作表3!$A:M,13,FALSE)</f>
        <v>0</v>
      </c>
      <c r="H212" s="95">
        <f>VLOOKUP($A212,工作表3!$A:N,14,FALSE)</f>
        <v>0</v>
      </c>
      <c r="I212" s="95">
        <f>VLOOKUP($A212,工作表3!$A:O,15,FALSE)</f>
        <v>0</v>
      </c>
    </row>
    <row r="213" spans="1:9">
      <c r="A213" s="95" t="s">
        <v>80</v>
      </c>
      <c r="B213" s="95">
        <v>1</v>
      </c>
      <c r="C213" s="95">
        <f>VLOOKUP($A213,工作表3!$A:I,9,FALSE)</f>
        <v>0</v>
      </c>
      <c r="D213" s="95">
        <f>VLOOKUP($A213,工作表3!$A:J,10,FALSE)</f>
        <v>0</v>
      </c>
      <c r="E213" s="95">
        <f>VLOOKUP($A213,工作表3!$A:K,11,FALSE)</f>
        <v>0</v>
      </c>
      <c r="F213" s="95">
        <f>VLOOKUP($A213,工作表3!$A:L,12,FALSE)</f>
        <v>10</v>
      </c>
      <c r="G213" s="95">
        <f>VLOOKUP($A213,工作表3!$A:M,13,FALSE)</f>
        <v>0</v>
      </c>
      <c r="H213" s="95">
        <f>VLOOKUP($A213,工作表3!$A:N,14,FALSE)</f>
        <v>0</v>
      </c>
      <c r="I213" s="95">
        <f>VLOOKUP($A213,工作表3!$A:O,15,FALSE)</f>
        <v>0</v>
      </c>
    </row>
    <row r="214" spans="1:9">
      <c r="A214" s="95" t="s">
        <v>202</v>
      </c>
      <c r="B214" s="95">
        <v>0.1</v>
      </c>
      <c r="C214" s="95">
        <f>VLOOKUP($A214,工作表3!$A:I,9,FALSE)</f>
        <v>0</v>
      </c>
      <c r="D214" s="95">
        <f>VLOOKUP($A214,工作表3!$A:J,10,FALSE)</f>
        <v>0</v>
      </c>
      <c r="E214" s="95">
        <f>VLOOKUP($A214,工作表3!$A:K,11,FALSE)</f>
        <v>0</v>
      </c>
      <c r="F214" s="95">
        <f>VLOOKUP($A214,工作表3!$A:L,12,FALSE)</f>
        <v>10</v>
      </c>
      <c r="G214" s="95">
        <f>VLOOKUP($A214,工作表3!$A:M,13,FALSE)</f>
        <v>0</v>
      </c>
      <c r="H214" s="95">
        <f>VLOOKUP($A214,工作表3!$A:N,14,FALSE)</f>
        <v>0</v>
      </c>
      <c r="I214" s="95">
        <f>VLOOKUP($A214,工作表3!$A:O,15,FALSE)</f>
        <v>0</v>
      </c>
    </row>
    <row r="215" spans="1:9">
      <c r="A215" s="95" t="s">
        <v>205</v>
      </c>
      <c r="B215" s="95">
        <v>0.1</v>
      </c>
      <c r="C215" s="95">
        <f>VLOOKUP($A215,工作表3!$A:I,9,FALSE)</f>
        <v>0</v>
      </c>
      <c r="D215" s="95">
        <f>VLOOKUP($A215,工作表3!$A:J,10,FALSE)</f>
        <v>0</v>
      </c>
      <c r="E215" s="95">
        <f>VLOOKUP($A215,工作表3!$A:K,11,FALSE)</f>
        <v>0</v>
      </c>
      <c r="F215" s="95">
        <f>VLOOKUP($A215,工作表3!$A:L,12,FALSE)</f>
        <v>10</v>
      </c>
      <c r="G215" s="95">
        <f>VLOOKUP($A215,工作表3!$A:M,13,FALSE)</f>
        <v>0</v>
      </c>
      <c r="H215" s="95">
        <f>VLOOKUP($A215,工作表3!$A:N,14,FALSE)</f>
        <v>0</v>
      </c>
      <c r="I215" s="95">
        <f>VLOOKUP($A215,工作表3!$A:O,15,FALSE)</f>
        <v>0</v>
      </c>
    </row>
    <row r="216" spans="1:9">
      <c r="A216" s="95" t="s">
        <v>313</v>
      </c>
      <c r="B216" s="95">
        <v>0.1</v>
      </c>
      <c r="C216" s="95">
        <f>VLOOKUP($A216,工作表3!$A:I,9,FALSE)</f>
        <v>0</v>
      </c>
      <c r="D216" s="95">
        <f>VLOOKUP($A216,工作表3!$A:J,10,FALSE)</f>
        <v>0</v>
      </c>
      <c r="E216" s="95">
        <f>VLOOKUP($A216,工作表3!$A:K,11,FALSE)</f>
        <v>0</v>
      </c>
      <c r="F216" s="95">
        <f>VLOOKUP($A216,工作表3!$A:L,12,FALSE)</f>
        <v>10</v>
      </c>
      <c r="G216" s="95">
        <f>VLOOKUP($A216,工作表3!$A:M,13,FALSE)</f>
        <v>0</v>
      </c>
      <c r="H216" s="95">
        <f>VLOOKUP($A216,工作表3!$A:N,14,FALSE)</f>
        <v>0</v>
      </c>
      <c r="I216" s="95">
        <f>VLOOKUP($A216,工作表3!$A:O,15,FALSE)</f>
        <v>0</v>
      </c>
    </row>
    <row r="217" spans="1:9">
      <c r="A217" s="95" t="s">
        <v>199</v>
      </c>
      <c r="B217" s="95">
        <v>1</v>
      </c>
      <c r="C217" s="95">
        <f>VLOOKUP($A217,工作表3!$A:I,9,FALSE)</f>
        <v>0</v>
      </c>
      <c r="D217" s="95">
        <f>VLOOKUP($A217,工作表3!$A:J,10,FALSE)</f>
        <v>0</v>
      </c>
      <c r="E217" s="95">
        <f>VLOOKUP($A217,工作表3!$A:K,11,FALSE)</f>
        <v>0</v>
      </c>
      <c r="F217" s="95">
        <f>VLOOKUP($A217,工作表3!$A:L,12,FALSE)</f>
        <v>100</v>
      </c>
      <c r="G217" s="95">
        <f>VLOOKUP($A217,工作表3!$A:M,13,FALSE)</f>
        <v>0</v>
      </c>
      <c r="H217" s="95">
        <f>VLOOKUP($A217,工作表3!$A:N,14,FALSE)</f>
        <v>0</v>
      </c>
      <c r="I217" s="95">
        <f>VLOOKUP($A217,工作表3!$A:O,15,FALSE)</f>
        <v>0</v>
      </c>
    </row>
    <row r="218" spans="1:9">
      <c r="A218" s="95" t="s">
        <v>417</v>
      </c>
      <c r="B218" s="95">
        <v>1</v>
      </c>
      <c r="C218" s="95">
        <f>VLOOKUP($A218,工作表3!$A:I,9,FALSE)</f>
        <v>0</v>
      </c>
      <c r="D218" s="95">
        <f>VLOOKUP($A218,工作表3!$A:J,10,FALSE)</f>
        <v>0</v>
      </c>
      <c r="E218" s="95">
        <f>VLOOKUP($A218,工作表3!$A:K,11,FALSE)</f>
        <v>0</v>
      </c>
      <c r="F218" s="95">
        <f>VLOOKUP($A218,工作表3!$A:L,12,FALSE)</f>
        <v>100</v>
      </c>
      <c r="G218" s="95">
        <f>VLOOKUP($A218,工作表3!$A:M,13,FALSE)</f>
        <v>0</v>
      </c>
      <c r="H218" s="95">
        <f>VLOOKUP($A218,工作表3!$A:N,14,FALSE)</f>
        <v>0</v>
      </c>
      <c r="I218" s="95">
        <f>VLOOKUP($A218,工作表3!$A:O,15,FALSE)</f>
        <v>0</v>
      </c>
    </row>
    <row r="219" spans="1:9">
      <c r="A219" s="95" t="s">
        <v>361</v>
      </c>
      <c r="B219" s="95">
        <v>1</v>
      </c>
      <c r="C219" s="95">
        <f>VLOOKUP($A219,工作表3!$A:I,9,FALSE)</f>
        <v>0</v>
      </c>
      <c r="D219" s="95">
        <f>VLOOKUP($A219,工作表3!$A:J,10,FALSE)</f>
        <v>0</v>
      </c>
      <c r="E219" s="95">
        <f>VLOOKUP($A219,工作表3!$A:K,11,FALSE)</f>
        <v>0</v>
      </c>
      <c r="F219" s="95">
        <f>VLOOKUP($A219,工作表3!$A:L,12,FALSE)</f>
        <v>10</v>
      </c>
      <c r="G219" s="95">
        <f>VLOOKUP($A219,工作表3!$A:M,13,FALSE)</f>
        <v>0</v>
      </c>
      <c r="H219" s="95">
        <f>VLOOKUP($A219,工作表3!$A:N,14,FALSE)</f>
        <v>0</v>
      </c>
      <c r="I219" s="95">
        <f>VLOOKUP($A219,工作表3!$A:O,15,FALSE)</f>
        <v>0</v>
      </c>
    </row>
    <row r="220" spans="1:9">
      <c r="A220" s="95" t="s">
        <v>356</v>
      </c>
      <c r="B220" s="95">
        <v>1</v>
      </c>
      <c r="C220" s="95">
        <f>VLOOKUP($A220,工作表3!$A:I,9,FALSE)</f>
        <v>0</v>
      </c>
      <c r="D220" s="95">
        <f>VLOOKUP($A220,工作表3!$A:J,10,FALSE)</f>
        <v>0</v>
      </c>
      <c r="E220" s="95">
        <f>VLOOKUP($A220,工作表3!$A:K,11,FALSE)</f>
        <v>0</v>
      </c>
      <c r="F220" s="95">
        <f>VLOOKUP($A220,工作表3!$A:L,12,FALSE)</f>
        <v>10</v>
      </c>
      <c r="G220" s="95">
        <f>VLOOKUP($A220,工作表3!$A:M,13,FALSE)</f>
        <v>0</v>
      </c>
      <c r="H220" s="95">
        <f>VLOOKUP($A220,工作表3!$A:N,14,FALSE)</f>
        <v>0</v>
      </c>
      <c r="I220" s="95">
        <f>VLOOKUP($A220,工作表3!$A:O,15,FALSE)</f>
        <v>0</v>
      </c>
    </row>
    <row r="221" spans="1:9">
      <c r="A221" s="95" t="s">
        <v>399</v>
      </c>
      <c r="B221" s="95">
        <v>0.12</v>
      </c>
    </row>
    <row r="222" spans="1:9">
      <c r="A222" s="95" t="s">
        <v>458</v>
      </c>
      <c r="B222" s="95">
        <v>0.6</v>
      </c>
    </row>
    <row r="223" spans="1:9">
      <c r="A223" s="95" t="s">
        <v>123</v>
      </c>
      <c r="B223" s="95">
        <v>1</v>
      </c>
    </row>
    <row r="224" spans="1:9">
      <c r="A224" s="95" t="s">
        <v>124</v>
      </c>
      <c r="B224" s="95">
        <v>1</v>
      </c>
    </row>
    <row r="225" spans="1:9">
      <c r="A225" s="95" t="s">
        <v>53</v>
      </c>
      <c r="B225" s="95">
        <v>0.3</v>
      </c>
    </row>
    <row r="226" spans="1:9">
      <c r="A226" s="95" t="s">
        <v>285</v>
      </c>
      <c r="B226" s="95">
        <v>0.15</v>
      </c>
    </row>
    <row r="227" spans="1:9">
      <c r="A227" s="95" t="s">
        <v>437</v>
      </c>
      <c r="B227" s="95">
        <v>0.15</v>
      </c>
    </row>
    <row r="228" spans="1:9">
      <c r="A228" s="95" t="s">
        <v>198</v>
      </c>
      <c r="B228" s="95">
        <v>1</v>
      </c>
    </row>
    <row r="229" spans="1:9">
      <c r="A229" s="95" t="s">
        <v>326</v>
      </c>
      <c r="B229" s="95">
        <v>1</v>
      </c>
    </row>
    <row r="230" spans="1:9">
      <c r="A230" s="95" t="s">
        <v>365</v>
      </c>
      <c r="B230" s="95">
        <v>1</v>
      </c>
      <c r="C230" s="95">
        <f>VLOOKUP($A230,工作表3!$A:I,9,FALSE)</f>
        <v>0</v>
      </c>
      <c r="D230" s="95">
        <f>VLOOKUP($A230,工作表3!$A:J,10,FALSE)</f>
        <v>0</v>
      </c>
      <c r="E230" s="95">
        <f>VLOOKUP($A230,工作表3!$A:K,11,FALSE)</f>
        <v>0</v>
      </c>
      <c r="F230" s="95">
        <f>VLOOKUP($A230,工作表3!$A:L,12,FALSE)</f>
        <v>10</v>
      </c>
      <c r="G230" s="95">
        <f>VLOOKUP($A230,工作表3!$A:M,13,FALSE)</f>
        <v>0</v>
      </c>
      <c r="H230" s="95">
        <f>VLOOKUP($A230,工作表3!$A:N,14,FALSE)</f>
        <v>0</v>
      </c>
      <c r="I230" s="95">
        <f>VLOOKUP($A230,工作表3!$A:O,15,FALSE)</f>
        <v>0</v>
      </c>
    </row>
    <row r="231" spans="1:9">
      <c r="A231" s="95" t="s">
        <v>78</v>
      </c>
      <c r="B231" s="95">
        <v>1</v>
      </c>
      <c r="C231" s="95">
        <f>VLOOKUP($A231,工作表3!$A:I,9,FALSE)</f>
        <v>0</v>
      </c>
      <c r="D231" s="95">
        <f>VLOOKUP($A231,工作表3!$A:J,10,FALSE)</f>
        <v>0</v>
      </c>
      <c r="E231" s="95">
        <f>VLOOKUP($A231,工作表3!$A:K,11,FALSE)</f>
        <v>0</v>
      </c>
      <c r="F231" s="95">
        <f>VLOOKUP($A231,工作表3!$A:L,12,FALSE)</f>
        <v>10</v>
      </c>
      <c r="G231" s="95">
        <f>VLOOKUP($A231,工作表3!$A:M,13,FALSE)</f>
        <v>0</v>
      </c>
      <c r="H231" s="95">
        <f>VLOOKUP($A231,工作表3!$A:N,14,FALSE)</f>
        <v>0</v>
      </c>
      <c r="I231" s="95">
        <f>VLOOKUP($A231,工作表3!$A:O,15,FALSE)</f>
        <v>0</v>
      </c>
    </row>
    <row r="232" spans="1:9">
      <c r="A232" s="95" t="s">
        <v>102</v>
      </c>
      <c r="B232" s="95">
        <v>1</v>
      </c>
      <c r="C232" s="95">
        <f>VLOOKUP($A232,工作表3!$A:I,9,FALSE)</f>
        <v>0</v>
      </c>
      <c r="D232" s="95">
        <f>VLOOKUP($A232,工作表3!$A:J,10,FALSE)</f>
        <v>0</v>
      </c>
      <c r="E232" s="95">
        <f>VLOOKUP($A232,工作表3!$A:K,11,FALSE)</f>
        <v>0</v>
      </c>
      <c r="F232" s="95">
        <f>VLOOKUP($A232,工作表3!$A:L,12,FALSE)</f>
        <v>0</v>
      </c>
      <c r="G232" s="95">
        <f>VLOOKUP($A232,工作表3!$A:M,13,FALSE)</f>
        <v>0</v>
      </c>
      <c r="H232" s="95">
        <f>VLOOKUP($A232,工作表3!$A:N,14,FALSE)</f>
        <v>0</v>
      </c>
      <c r="I232" s="95">
        <f>VLOOKUP($A232,工作表3!$A:O,15,FALSE)</f>
        <v>1000</v>
      </c>
    </row>
    <row r="233" spans="1:9">
      <c r="A233" s="95" t="s">
        <v>13</v>
      </c>
      <c r="B233" s="95">
        <v>1</v>
      </c>
      <c r="C233" s="95">
        <f>VLOOKUP($A233,工作表3!$A:I,9,FALSE)</f>
        <v>0</v>
      </c>
      <c r="D233" s="95">
        <f>VLOOKUP($A233,工作表3!$A:J,10,FALSE)</f>
        <v>0</v>
      </c>
      <c r="E233" s="95">
        <f>VLOOKUP($A233,工作表3!$A:K,11,FALSE)</f>
        <v>0</v>
      </c>
      <c r="F233" s="95">
        <f>VLOOKUP($A233,工作表3!$A:L,12,FALSE)</f>
        <v>0</v>
      </c>
      <c r="G233" s="95">
        <f>VLOOKUP($A233,工作表3!$A:M,13,FALSE)</f>
        <v>0</v>
      </c>
      <c r="H233" s="95">
        <f>VLOOKUP($A233,工作表3!$A:N,14,FALSE)</f>
        <v>0</v>
      </c>
      <c r="I233" s="95">
        <f>VLOOKUP($A233,工作表3!$A:O,15,FALSE)</f>
        <v>1000</v>
      </c>
    </row>
    <row r="234" spans="1:9">
      <c r="A234" s="95" t="s">
        <v>430</v>
      </c>
      <c r="B234" s="95">
        <v>2</v>
      </c>
      <c r="C234" s="95">
        <f>VLOOKUP($A234,工作表3!$A:I,9,FALSE)</f>
        <v>0</v>
      </c>
      <c r="D234" s="95">
        <f>VLOOKUP($A234,工作表3!$A:J,10,FALSE)</f>
        <v>0</v>
      </c>
      <c r="E234" s="95">
        <f>VLOOKUP($A234,工作表3!$A:K,11,FALSE)</f>
        <v>0</v>
      </c>
      <c r="F234" s="95">
        <f>VLOOKUP($A234,工作表3!$A:L,12,FALSE)</f>
        <v>0</v>
      </c>
      <c r="G234" s="95">
        <f>VLOOKUP($A234,工作表3!$A:M,13,FALSE)</f>
        <v>0</v>
      </c>
      <c r="H234" s="95">
        <f>VLOOKUP($A234,工作表3!$A:N,14,FALSE)</f>
        <v>0</v>
      </c>
      <c r="I234" s="95">
        <f>VLOOKUP($A234,工作表3!$A:O,15,FALSE)/B234</f>
        <v>1000</v>
      </c>
    </row>
    <row r="235" spans="1:9">
      <c r="A235" s="95" t="s">
        <v>85</v>
      </c>
      <c r="B235" s="95">
        <v>1</v>
      </c>
      <c r="C235" s="95">
        <v>50</v>
      </c>
    </row>
    <row r="236" spans="1:9">
      <c r="A236" s="95" t="s">
        <v>340</v>
      </c>
      <c r="B236" s="95">
        <v>1</v>
      </c>
    </row>
    <row r="237" spans="1:9">
      <c r="A237" s="95" t="s">
        <v>208</v>
      </c>
      <c r="B237" s="95">
        <v>1</v>
      </c>
    </row>
    <row r="238" spans="1:9">
      <c r="A238" s="95" t="s">
        <v>447</v>
      </c>
      <c r="B238" s="95">
        <v>1</v>
      </c>
      <c r="C238" s="95">
        <f>VLOOKUP($A238,工作表3!$A:I,9,FALSE)</f>
        <v>0</v>
      </c>
      <c r="D238" s="95">
        <f>VLOOKUP($A238,工作表3!$A:J,10,FALSE)</f>
        <v>0</v>
      </c>
      <c r="E238" s="95">
        <f>VLOOKUP($A238,工作表3!$A:K,11,FALSE)</f>
        <v>0</v>
      </c>
      <c r="F238" s="95">
        <f>VLOOKUP($A238,工作表3!$A:L,12,FALSE)</f>
        <v>0</v>
      </c>
      <c r="G238" s="95">
        <f>VLOOKUP($A238,工作表3!$A:M,13,FALSE)</f>
        <v>0</v>
      </c>
      <c r="H238" s="95">
        <f>VLOOKUP($A238,工作表3!$A:N,14,FALSE)</f>
        <v>76.92307692307692</v>
      </c>
      <c r="I238" s="95">
        <f>VLOOKUP($A238,工作表3!$A:O,15,FALSE)</f>
        <v>0</v>
      </c>
    </row>
    <row r="239" spans="1:9">
      <c r="A239" s="95" t="s">
        <v>92</v>
      </c>
      <c r="B239" s="95">
        <v>0.55000000000000004</v>
      </c>
      <c r="C239" s="95">
        <f>VLOOKUP($A239,工作表3!$A:I,9,FALSE)</f>
        <v>0</v>
      </c>
      <c r="D239" s="95">
        <f>VLOOKUP($A239,工作表3!$A:J,10,FALSE)</f>
        <v>0</v>
      </c>
      <c r="E239" s="95">
        <f>VLOOKUP($A239,工作表3!$A:K,11,FALSE)</f>
        <v>0</v>
      </c>
      <c r="F239" s="95">
        <f>VLOOKUP($A239,工作表3!$A:L,12,FALSE)</f>
        <v>0</v>
      </c>
      <c r="G239" s="95">
        <f>VLOOKUP($A239,工作表3!$A:M,13,FALSE)</f>
        <v>0</v>
      </c>
      <c r="H239" s="95">
        <f>VLOOKUP($A239,工作表3!$A:N,14,FALSE)</f>
        <v>0</v>
      </c>
      <c r="I239" s="95">
        <f>VLOOKUP($A239,工作表3!$A:O,15,FALSE)/B239</f>
        <v>909.09090909090901</v>
      </c>
    </row>
    <row r="240" spans="1:9">
      <c r="A240" s="95" t="s">
        <v>246</v>
      </c>
      <c r="B240" s="95">
        <v>0.55000000000000004</v>
      </c>
      <c r="C240" s="95">
        <f>VLOOKUP($A240,工作表3!$A:I,9,FALSE)</f>
        <v>0</v>
      </c>
      <c r="D240" s="95">
        <f>VLOOKUP($A240,工作表3!$A:J,10,FALSE)</f>
        <v>0</v>
      </c>
      <c r="E240" s="95">
        <f>VLOOKUP($A240,工作表3!$A:K,11,FALSE)</f>
        <v>0</v>
      </c>
      <c r="F240" s="95">
        <f>VLOOKUP($A240,工作表3!$A:L,12,FALSE)</f>
        <v>0</v>
      </c>
      <c r="G240" s="95">
        <f>VLOOKUP($A240,工作表3!$A:M,13,FALSE)</f>
        <v>0</v>
      </c>
      <c r="H240" s="95">
        <f>VLOOKUP($A240,工作表3!$A:N,14,FALSE)</f>
        <v>0</v>
      </c>
      <c r="I240" s="95">
        <f>VLOOKUP($A240,工作表3!$A:O,15,FALSE)/B240</f>
        <v>909.09090909090901</v>
      </c>
    </row>
    <row r="241" spans="1:2">
      <c r="A241" s="95" t="s">
        <v>294</v>
      </c>
      <c r="B241" s="95">
        <v>0.5</v>
      </c>
    </row>
    <row r="242" spans="1:2">
      <c r="A242" s="95" t="s">
        <v>443</v>
      </c>
      <c r="B242" s="95">
        <v>0.5</v>
      </c>
    </row>
    <row r="243" spans="1:2">
      <c r="A243" s="95" t="s">
        <v>263</v>
      </c>
      <c r="B243" s="95">
        <v>0.5</v>
      </c>
    </row>
    <row r="244" spans="1:2">
      <c r="A244" s="95" t="s">
        <v>264</v>
      </c>
      <c r="B244" s="95">
        <v>0.5</v>
      </c>
    </row>
    <row r="245" spans="1:2">
      <c r="A245" s="95" t="s">
        <v>63</v>
      </c>
      <c r="B245" s="95">
        <v>1</v>
      </c>
    </row>
    <row r="246" spans="1:2">
      <c r="A246" s="95" t="s">
        <v>159</v>
      </c>
      <c r="B246" s="95">
        <v>0.7</v>
      </c>
    </row>
    <row r="247" spans="1:2">
      <c r="A247" s="95" t="s">
        <v>99</v>
      </c>
      <c r="B247" s="95">
        <v>0.14000000000000001</v>
      </c>
    </row>
    <row r="248" spans="1:2">
      <c r="A248" s="95" t="s">
        <v>418</v>
      </c>
      <c r="B248" s="95">
        <v>0.23</v>
      </c>
    </row>
    <row r="249" spans="1:2">
      <c r="A249" s="95" t="s">
        <v>448</v>
      </c>
      <c r="B249" s="95">
        <v>0.56000000000000005</v>
      </c>
    </row>
    <row r="250" spans="1:2">
      <c r="A250" s="95" t="s">
        <v>389</v>
      </c>
      <c r="B250" s="95">
        <v>0.12</v>
      </c>
    </row>
    <row r="251" spans="1:2">
      <c r="A251" s="95" t="s">
        <v>387</v>
      </c>
      <c r="B251" s="95">
        <v>0.12</v>
      </c>
    </row>
    <row r="252" spans="1:2">
      <c r="A252" s="95" t="s">
        <v>388</v>
      </c>
      <c r="B252" s="95">
        <v>0.12</v>
      </c>
    </row>
    <row r="253" spans="1:2">
      <c r="A253" s="95" t="s">
        <v>436</v>
      </c>
      <c r="B253" s="95">
        <v>0.25</v>
      </c>
    </row>
    <row r="254" spans="1:2">
      <c r="A254" s="95" t="s">
        <v>442</v>
      </c>
      <c r="B254" s="95">
        <v>0.14000000000000001</v>
      </c>
    </row>
    <row r="255" spans="1:2">
      <c r="A255" s="95" t="s">
        <v>252</v>
      </c>
      <c r="B255" s="95">
        <v>0.68</v>
      </c>
    </row>
    <row r="256" spans="1:2">
      <c r="A256" s="95" t="s">
        <v>291</v>
      </c>
      <c r="B256" s="95">
        <v>0.27</v>
      </c>
    </row>
    <row r="257" spans="1:9">
      <c r="A257" s="95" t="s">
        <v>195</v>
      </c>
      <c r="B257" s="95">
        <v>0.185</v>
      </c>
      <c r="C257" s="95">
        <f>VLOOKUP($A257,工作表3!$A:I,9,FALSE)</f>
        <v>0</v>
      </c>
      <c r="D257" s="95">
        <f>VLOOKUP($A257,工作表3!$A:J,10,FALSE)/B257</f>
        <v>32.432432432432435</v>
      </c>
      <c r="E257" s="95">
        <f>VLOOKUP($A257,工作表3!$A:K,11,FALSE)</f>
        <v>0</v>
      </c>
      <c r="F257" s="95">
        <f>VLOOKUP($A257,工作表3!$A:L,12,FALSE)</f>
        <v>0</v>
      </c>
      <c r="G257" s="95">
        <f>VLOOKUP($A257,工作表3!$A:M,13,FALSE)</f>
        <v>0</v>
      </c>
      <c r="H257" s="95">
        <f>VLOOKUP($A257,工作表3!$A:N,14,FALSE)</f>
        <v>0</v>
      </c>
      <c r="I257" s="95">
        <f>VLOOKUP($A257,工作表3!$A:O,15,FALSE)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</vt:i4>
      </vt:variant>
    </vt:vector>
  </HeadingPairs>
  <TitlesOfParts>
    <vt:vector size="11" baseType="lpstr">
      <vt:lpstr>菜單</vt:lpstr>
      <vt:lpstr>總表</vt:lpstr>
      <vt:lpstr>第一周</vt:lpstr>
      <vt:lpstr>第二周</vt:lpstr>
      <vt:lpstr>第三周</vt:lpstr>
      <vt:lpstr>第四周</vt:lpstr>
      <vt:lpstr>第五周</vt:lpstr>
      <vt:lpstr>依據</vt:lpstr>
      <vt:lpstr>食材表</vt:lpstr>
      <vt:lpstr>工作表3</vt:lpstr>
      <vt:lpstr>第一周!Print_Area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</dc:creator>
  <cp:lastModifiedBy>886928971512</cp:lastModifiedBy>
  <cp:lastPrinted>2023-11-22T06:25:44Z</cp:lastPrinted>
  <dcterms:created xsi:type="dcterms:W3CDTF">2016-06-03T03:04:41Z</dcterms:created>
  <dcterms:modified xsi:type="dcterms:W3CDTF">2023-12-04T13:10:05Z</dcterms:modified>
</cp:coreProperties>
</file>